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918" activeTab="2"/>
  </bookViews>
  <sheets>
    <sheet name="Übersicht " sheetId="1" r:id="rId1"/>
    <sheet name="Zahlenwerte für Diagramme" sheetId="2" r:id="rId2"/>
    <sheet name="Stoffübergang_Masse" sheetId="3" r:id="rId3"/>
  </sheets>
  <definedNames/>
  <calcPr fullCalcOnLoad="1"/>
</workbook>
</file>

<file path=xl/sharedStrings.xml><?xml version="1.0" encoding="utf-8"?>
<sst xmlns="http://schemas.openxmlformats.org/spreadsheetml/2006/main" count="476" uniqueCount="235">
  <si>
    <t>Eintritt</t>
  </si>
  <si>
    <t>Austritt</t>
  </si>
  <si>
    <t>[m³/h ]</t>
  </si>
  <si>
    <t>[kg/s]</t>
  </si>
  <si>
    <t>Luft</t>
  </si>
  <si>
    <t>Wasser</t>
  </si>
  <si>
    <t>[°C]</t>
  </si>
  <si>
    <t>[l/h ]</t>
  </si>
  <si>
    <t>spezifische Wärmekapazität Wasser</t>
  </si>
  <si>
    <t>spezifische Wärmekapazität Luft</t>
  </si>
  <si>
    <t>Konstanten:</t>
  </si>
  <si>
    <t>Dichte von Wasser</t>
  </si>
  <si>
    <t>Dichte von Luft</t>
  </si>
  <si>
    <t>Lewis Zahl</t>
  </si>
  <si>
    <r>
      <t xml:space="preserve">Wärmeüberganskoeffizienten </t>
    </r>
    <r>
      <rPr>
        <sz val="10"/>
        <rFont val="Symbol"/>
        <family val="1"/>
      </rPr>
      <t>a</t>
    </r>
  </si>
  <si>
    <t>[W]</t>
  </si>
  <si>
    <t>2W52</t>
  </si>
  <si>
    <t>3W52</t>
  </si>
  <si>
    <t>4W52</t>
  </si>
  <si>
    <t>5W52</t>
  </si>
  <si>
    <t>1W60</t>
  </si>
  <si>
    <t>2W60</t>
  </si>
  <si>
    <t>3W60</t>
  </si>
  <si>
    <t>4W60</t>
  </si>
  <si>
    <t>5W60</t>
  </si>
  <si>
    <t>1P52</t>
  </si>
  <si>
    <t>2P52</t>
  </si>
  <si>
    <t>3P52</t>
  </si>
  <si>
    <t>4P52</t>
  </si>
  <si>
    <t>5P52</t>
  </si>
  <si>
    <t>1P60</t>
  </si>
  <si>
    <t>2P60 (14a)</t>
  </si>
  <si>
    <t>2P60 2</t>
  </si>
  <si>
    <t>3P60</t>
  </si>
  <si>
    <t>4P60</t>
  </si>
  <si>
    <t>5P60</t>
  </si>
  <si>
    <t>WST_2W</t>
  </si>
  <si>
    <t>WST_3W</t>
  </si>
  <si>
    <t>WST_4W</t>
  </si>
  <si>
    <t>WST_5W</t>
  </si>
  <si>
    <t>WST_1W</t>
  </si>
  <si>
    <t>Wärmeströme</t>
  </si>
  <si>
    <t>WST_2PA</t>
  </si>
  <si>
    <t>WST_3PA</t>
  </si>
  <si>
    <t>WST_4PA</t>
  </si>
  <si>
    <t>WST_5PA</t>
  </si>
  <si>
    <t>WST_1PA</t>
  </si>
  <si>
    <t>WST_2PB</t>
  </si>
  <si>
    <t>WST_3PB</t>
  </si>
  <si>
    <t>WST_4PB</t>
  </si>
  <si>
    <t>WST_5PB</t>
  </si>
  <si>
    <t>WST_1PB</t>
  </si>
  <si>
    <r>
      <t>C</t>
    </r>
    <r>
      <rPr>
        <vertAlign val="subscript"/>
        <sz val="10"/>
        <rFont val="Arial"/>
        <family val="2"/>
      </rPr>
      <t>pWasser(20°C)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</si>
  <si>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Wasser(20°C)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</si>
  <si>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Luft(20°C)</t>
    </r>
    <r>
      <rPr>
        <sz val="10"/>
        <rFont val="Arial"/>
        <family val="0"/>
      </rPr>
      <t>=</t>
    </r>
  </si>
  <si>
    <t>4,182 kJ/kgK</t>
  </si>
  <si>
    <r>
      <t>a</t>
    </r>
    <r>
      <rPr>
        <vertAlign val="subscript"/>
        <sz val="10"/>
        <rFont val="Arial"/>
        <family val="2"/>
      </rPr>
      <t>Wasser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</si>
  <si>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</si>
  <si>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</si>
  <si>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</si>
  <si>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</si>
  <si>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</si>
  <si>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</si>
  <si>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</si>
  <si>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</si>
  <si>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</si>
  <si>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Konstanten für die Berechnung der spezifischen Wärmekapazität von Klimat Konzentrationsbereich 35 - 62 %</t>
  </si>
  <si>
    <t>Konzentration</t>
  </si>
  <si>
    <t>Temperatur</t>
  </si>
  <si>
    <t>Konstanten zur Berechnung der Dichte von Klimat 3990 S</t>
  </si>
  <si>
    <t>Dichte (K,T) [kg/m³]</t>
  </si>
  <si>
    <t>Sole</t>
  </si>
  <si>
    <t>[Kg/h]</t>
  </si>
  <si>
    <t>[m²K/W]</t>
  </si>
  <si>
    <t>[W/m²K]</t>
  </si>
  <si>
    <t>Feuchte absolute</t>
  </si>
  <si>
    <t>Massenströme</t>
  </si>
  <si>
    <t>Le=</t>
  </si>
  <si>
    <r>
      <t>Cp</t>
    </r>
    <r>
      <rPr>
        <vertAlign val="subscript"/>
        <sz val="10"/>
        <color indexed="10"/>
        <rFont val="Arial"/>
        <family val="2"/>
      </rPr>
      <t>Klimat3990S [kJ/(kgK)]</t>
    </r>
  </si>
  <si>
    <t>Kreuzstromwärmetauscher</t>
  </si>
  <si>
    <t>[ ]</t>
  </si>
  <si>
    <r>
      <t>C</t>
    </r>
    <r>
      <rPr>
        <vertAlign val="subscript"/>
        <sz val="10"/>
        <rFont val="Arial"/>
        <family val="2"/>
      </rPr>
      <t>pLuft(20°C)</t>
    </r>
    <r>
      <rPr>
        <sz val="10"/>
        <rFont val="Arial"/>
        <family val="0"/>
      </rPr>
      <t>= [ kJ/kgK]</t>
    </r>
  </si>
  <si>
    <t>[K]</t>
  </si>
  <si>
    <t>[m/s]</t>
  </si>
  <si>
    <t>P</t>
  </si>
  <si>
    <t>Überströmge</t>
  </si>
  <si>
    <t>W52</t>
  </si>
  <si>
    <t>W 60</t>
  </si>
  <si>
    <t>P 52</t>
  </si>
  <si>
    <t>P 60</t>
  </si>
  <si>
    <t>[]</t>
  </si>
  <si>
    <r>
      <t>b</t>
    </r>
    <r>
      <rPr>
        <b/>
        <sz val="10"/>
        <rFont val="Arial"/>
        <family val="2"/>
      </rPr>
      <t>Luft, Sole</t>
    </r>
  </si>
  <si>
    <r>
      <t>P</t>
    </r>
    <r>
      <rPr>
        <b/>
        <sz val="10"/>
        <rFont val="Arial"/>
        <family val="2"/>
      </rPr>
      <t>-Verhältnis</t>
    </r>
  </si>
  <si>
    <t>[kg/m²s]</t>
  </si>
  <si>
    <r>
      <t>Stoffüberganskoeffizienten</t>
    </r>
    <r>
      <rPr>
        <b/>
        <sz val="10"/>
        <rFont val="Symbol"/>
        <family val="1"/>
      </rPr>
      <t xml:space="preserve"> b</t>
    </r>
  </si>
  <si>
    <r>
      <t>b</t>
    </r>
    <r>
      <rPr>
        <b/>
        <vertAlign val="subscript"/>
        <sz val="10"/>
        <rFont val="Arial"/>
        <family val="2"/>
      </rPr>
      <t>Luft, Sole</t>
    </r>
  </si>
  <si>
    <t>sensibel_latent</t>
  </si>
  <si>
    <r>
      <t>D</t>
    </r>
    <r>
      <rPr>
        <b/>
        <sz val="10"/>
        <color indexed="12"/>
        <rFont val="Arial"/>
        <family val="0"/>
      </rPr>
      <t>Q</t>
    </r>
    <r>
      <rPr>
        <b/>
        <vertAlign val="subscript"/>
        <sz val="10"/>
        <color indexed="12"/>
        <rFont val="Arial"/>
        <family val="2"/>
      </rPr>
      <t>(sen+lat)Luft</t>
    </r>
  </si>
  <si>
    <r>
      <t>Q</t>
    </r>
    <r>
      <rPr>
        <b/>
        <vertAlign val="subscript"/>
        <sz val="10"/>
        <color indexed="12"/>
        <rFont val="Arial"/>
        <family val="2"/>
      </rPr>
      <t>senLuft</t>
    </r>
  </si>
  <si>
    <r>
      <t>Q</t>
    </r>
    <r>
      <rPr>
        <b/>
        <vertAlign val="subscript"/>
        <sz val="10"/>
        <color indexed="12"/>
        <rFont val="Arial"/>
        <family val="2"/>
      </rPr>
      <t>LatLuft</t>
    </r>
  </si>
  <si>
    <r>
      <t>Q</t>
    </r>
    <r>
      <rPr>
        <vertAlign val="subscript"/>
        <sz val="10"/>
        <color indexed="14"/>
        <rFont val="Arial"/>
        <family val="2"/>
      </rPr>
      <t>sens</t>
    </r>
    <r>
      <rPr>
        <sz val="10"/>
        <color indexed="14"/>
        <rFont val="Arial"/>
        <family val="0"/>
      </rPr>
      <t>/Q</t>
    </r>
    <r>
      <rPr>
        <vertAlign val="subscript"/>
        <sz val="10"/>
        <color indexed="14"/>
        <rFont val="Arial"/>
        <family val="2"/>
      </rPr>
      <t>lat</t>
    </r>
  </si>
  <si>
    <r>
      <t>a</t>
    </r>
    <r>
      <rPr>
        <vertAlign val="subscript"/>
        <sz val="10"/>
        <color indexed="14"/>
        <rFont val="Arial"/>
        <family val="2"/>
      </rPr>
      <t>Luft,Sole</t>
    </r>
  </si>
  <si>
    <r>
      <t>b</t>
    </r>
    <r>
      <rPr>
        <b/>
        <sz val="10"/>
        <color indexed="14"/>
        <rFont val="Arial"/>
        <family val="2"/>
      </rPr>
      <t>Luft, Sole</t>
    </r>
  </si>
  <si>
    <r>
      <t>Q</t>
    </r>
    <r>
      <rPr>
        <vertAlign val="subscript"/>
        <sz val="10"/>
        <color indexed="10"/>
        <rFont val="Arial"/>
        <family val="2"/>
      </rPr>
      <t>sens</t>
    </r>
    <r>
      <rPr>
        <sz val="10"/>
        <color indexed="10"/>
        <rFont val="Arial"/>
        <family val="0"/>
      </rPr>
      <t>/Q</t>
    </r>
    <r>
      <rPr>
        <vertAlign val="subscript"/>
        <sz val="10"/>
        <color indexed="10"/>
        <rFont val="Arial"/>
        <family val="2"/>
      </rPr>
      <t>lat</t>
    </r>
  </si>
  <si>
    <r>
      <t>a</t>
    </r>
    <r>
      <rPr>
        <vertAlign val="subscript"/>
        <sz val="10"/>
        <color indexed="10"/>
        <rFont val="Arial"/>
        <family val="2"/>
      </rPr>
      <t>Luft,Sole</t>
    </r>
  </si>
  <si>
    <r>
      <t>b</t>
    </r>
    <r>
      <rPr>
        <b/>
        <sz val="10"/>
        <color indexed="10"/>
        <rFont val="Arial"/>
        <family val="2"/>
      </rPr>
      <t>Luft, Sole</t>
    </r>
  </si>
  <si>
    <r>
      <t>Q</t>
    </r>
    <r>
      <rPr>
        <vertAlign val="subscript"/>
        <sz val="10"/>
        <color indexed="15"/>
        <rFont val="Arial"/>
        <family val="2"/>
      </rPr>
      <t>sens</t>
    </r>
    <r>
      <rPr>
        <sz val="10"/>
        <color indexed="15"/>
        <rFont val="Arial"/>
        <family val="0"/>
      </rPr>
      <t>/Q</t>
    </r>
    <r>
      <rPr>
        <vertAlign val="subscript"/>
        <sz val="10"/>
        <color indexed="15"/>
        <rFont val="Arial"/>
        <family val="2"/>
      </rPr>
      <t>lat</t>
    </r>
  </si>
  <si>
    <r>
      <t>a</t>
    </r>
    <r>
      <rPr>
        <vertAlign val="subscript"/>
        <sz val="10"/>
        <color indexed="15"/>
        <rFont val="Arial"/>
        <family val="2"/>
      </rPr>
      <t>Luft,Sole</t>
    </r>
  </si>
  <si>
    <r>
      <t>b</t>
    </r>
    <r>
      <rPr>
        <b/>
        <sz val="10"/>
        <color indexed="15"/>
        <rFont val="Arial"/>
        <family val="2"/>
      </rPr>
      <t>Luft, Sole</t>
    </r>
  </si>
  <si>
    <r>
      <t>Q</t>
    </r>
    <r>
      <rPr>
        <vertAlign val="subscript"/>
        <sz val="10"/>
        <color indexed="12"/>
        <rFont val="Arial"/>
        <family val="2"/>
      </rPr>
      <t>sens</t>
    </r>
    <r>
      <rPr>
        <sz val="10"/>
        <color indexed="12"/>
        <rFont val="Arial"/>
        <family val="0"/>
      </rPr>
      <t>/Q</t>
    </r>
    <r>
      <rPr>
        <vertAlign val="subscript"/>
        <sz val="10"/>
        <color indexed="12"/>
        <rFont val="Arial"/>
        <family val="2"/>
      </rPr>
      <t>lat</t>
    </r>
  </si>
  <si>
    <r>
      <t>a</t>
    </r>
    <r>
      <rPr>
        <vertAlign val="subscript"/>
        <sz val="10"/>
        <color indexed="12"/>
        <rFont val="Arial"/>
        <family val="2"/>
      </rPr>
      <t>Luft,Sole</t>
    </r>
  </si>
  <si>
    <r>
      <t>b</t>
    </r>
    <r>
      <rPr>
        <b/>
        <sz val="10"/>
        <color indexed="12"/>
        <rFont val="Arial"/>
        <family val="2"/>
      </rPr>
      <t>Luft, Sole</t>
    </r>
  </si>
  <si>
    <r>
      <t>P</t>
    </r>
    <r>
      <rPr>
        <b/>
        <sz val="10"/>
        <color indexed="12"/>
        <rFont val="Arial"/>
        <family val="2"/>
      </rPr>
      <t>-Verhältnis</t>
    </r>
  </si>
  <si>
    <r>
      <t>Entfeuchtegrad</t>
    </r>
    <r>
      <rPr>
        <b/>
        <sz val="10"/>
        <color indexed="12"/>
        <rFont val="Symbol"/>
        <family val="1"/>
      </rPr>
      <t xml:space="preserve"> e </t>
    </r>
    <r>
      <rPr>
        <b/>
        <sz val="10"/>
        <color indexed="12"/>
        <rFont val="Arial"/>
        <family val="2"/>
      </rPr>
      <t>Luft, Sole</t>
    </r>
  </si>
  <si>
    <t>Diagramm Verhältnis Wärmeströme; Diagramm Wärmeübergangskoeffizient</t>
  </si>
  <si>
    <t>kopierte Zellen aus der Datei "Entfeuchtegrad.xls"</t>
  </si>
  <si>
    <r>
      <t>Entfeuchtegrad</t>
    </r>
    <r>
      <rPr>
        <b/>
        <sz val="10"/>
        <color indexed="12"/>
        <rFont val="Symbol"/>
        <family val="1"/>
      </rPr>
      <t xml:space="preserve"> e </t>
    </r>
    <r>
      <rPr>
        <b/>
        <sz val="10"/>
        <color indexed="12"/>
        <rFont val="Arial"/>
        <family val="2"/>
      </rPr>
      <t>Luft, Sole Spalte T x 100 !!!</t>
    </r>
  </si>
  <si>
    <r>
      <t>D</t>
    </r>
    <r>
      <rPr>
        <sz val="10"/>
        <color indexed="10"/>
        <rFont val="Arial"/>
        <family val="0"/>
      </rPr>
      <t>t</t>
    </r>
    <r>
      <rPr>
        <vertAlign val="subscript"/>
        <sz val="10"/>
        <color indexed="10"/>
        <rFont val="Arial"/>
        <family val="2"/>
      </rPr>
      <t>Sole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</si>
  <si>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log, Sole</t>
    </r>
  </si>
  <si>
    <t>Messwerte</t>
  </si>
  <si>
    <r>
      <t>b</t>
    </r>
    <r>
      <rPr>
        <b/>
        <vertAlign val="subscript"/>
        <sz val="10"/>
        <color indexed="12"/>
        <rFont val="Arial"/>
        <family val="2"/>
      </rPr>
      <t>Luft, Sole</t>
    </r>
  </si>
  <si>
    <r>
      <t>b</t>
    </r>
    <r>
      <rPr>
        <sz val="10"/>
        <rFont val="Arial"/>
        <family val="0"/>
      </rPr>
      <t>Luft, Sole</t>
    </r>
  </si>
  <si>
    <r>
      <t>D</t>
    </r>
    <r>
      <rPr>
        <sz val="10"/>
        <rFont val="Arial"/>
        <family val="0"/>
      </rPr>
      <t>tSole</t>
    </r>
  </si>
  <si>
    <r>
      <t>D</t>
    </r>
    <r>
      <rPr>
        <sz val="10"/>
        <rFont val="Arial"/>
        <family val="0"/>
      </rPr>
      <t>tlog, Sole</t>
    </r>
  </si>
  <si>
    <t>aLuft,Sole</t>
  </si>
  <si>
    <t>Dtlog, Sole</t>
  </si>
  <si>
    <t>bLuft, Sole</t>
  </si>
  <si>
    <t>DtSole</t>
  </si>
  <si>
    <t>P52</t>
  </si>
  <si>
    <t>W60</t>
  </si>
  <si>
    <t>P60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</si>
  <si>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Sole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</si>
  <si>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log, Sole</t>
    </r>
  </si>
  <si>
    <t>Üw</t>
  </si>
  <si>
    <r>
      <t>a</t>
    </r>
    <r>
      <rPr>
        <vertAlign val="subscript"/>
        <sz val="10"/>
        <rFont val="Arial"/>
        <family val="2"/>
      </rPr>
      <t>Luft,Sole</t>
    </r>
  </si>
  <si>
    <t>ber</t>
  </si>
  <si>
    <r>
      <t>K</t>
    </r>
    <r>
      <rPr>
        <vertAlign val="subscript"/>
        <sz val="10"/>
        <rFont val="Arial"/>
        <family val="2"/>
      </rPr>
      <t>L,S,W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</si>
  <si>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l,S</t>
    </r>
  </si>
  <si>
    <r>
      <t>b</t>
    </r>
    <r>
      <rPr>
        <b/>
        <vertAlign val="subscript"/>
        <sz val="10"/>
        <rFont val="Arial"/>
        <family val="2"/>
      </rPr>
      <t>L, S</t>
    </r>
  </si>
  <si>
    <r>
      <t>b</t>
    </r>
    <r>
      <rPr>
        <b/>
        <vertAlign val="subscript"/>
        <sz val="10"/>
        <color indexed="10"/>
        <rFont val="Arial"/>
        <family val="2"/>
      </rPr>
      <t>L, S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</si>
  <si>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l,Sole</t>
    </r>
  </si>
  <si>
    <t>Messw.</t>
  </si>
  <si>
    <r>
      <t>Q</t>
    </r>
    <r>
      <rPr>
        <vertAlign val="subscript"/>
        <sz val="10"/>
        <rFont val="Arial"/>
        <family val="2"/>
      </rPr>
      <t>sL/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lL</t>
    </r>
  </si>
  <si>
    <t>1W52</t>
  </si>
  <si>
    <t>Versuch</t>
  </si>
  <si>
    <t>Lufttemp.</t>
  </si>
  <si>
    <t>Kühlwassertemp</t>
  </si>
  <si>
    <r>
      <t>F</t>
    </r>
    <r>
      <rPr>
        <b/>
        <sz val="10"/>
        <color indexed="11"/>
        <rFont val="Arial"/>
        <family val="2"/>
      </rPr>
      <t>w</t>
    </r>
  </si>
  <si>
    <r>
      <t>t</t>
    </r>
    <r>
      <rPr>
        <b/>
        <vertAlign val="subscript"/>
        <sz val="10"/>
        <color indexed="11"/>
        <rFont val="Arial"/>
        <family val="2"/>
      </rPr>
      <t>W</t>
    </r>
  </si>
  <si>
    <r>
      <t>k</t>
    </r>
    <r>
      <rPr>
        <b/>
        <vertAlign val="subscript"/>
        <sz val="10"/>
        <color indexed="11"/>
        <rFont val="Arial"/>
        <family val="2"/>
      </rPr>
      <t>W</t>
    </r>
  </si>
  <si>
    <r>
      <t>F</t>
    </r>
    <r>
      <rPr>
        <vertAlign val="subscript"/>
        <sz val="10"/>
        <color indexed="11"/>
        <rFont val="Arial"/>
        <family val="2"/>
      </rPr>
      <t>S</t>
    </r>
  </si>
  <si>
    <r>
      <t>t</t>
    </r>
    <r>
      <rPr>
        <vertAlign val="subscript"/>
        <sz val="10"/>
        <color indexed="11"/>
        <rFont val="Arial"/>
        <family val="2"/>
      </rPr>
      <t>S</t>
    </r>
  </si>
  <si>
    <r>
      <t>k</t>
    </r>
    <r>
      <rPr>
        <vertAlign val="subscript"/>
        <sz val="10"/>
        <color indexed="11"/>
        <rFont val="Arial"/>
        <family val="2"/>
      </rPr>
      <t>Sole</t>
    </r>
  </si>
  <si>
    <r>
      <t>t</t>
    </r>
    <r>
      <rPr>
        <vertAlign val="superscript"/>
        <sz val="10"/>
        <color indexed="53"/>
        <rFont val="Arial"/>
        <family val="2"/>
      </rPr>
      <t>I</t>
    </r>
    <r>
      <rPr>
        <vertAlign val="subscript"/>
        <sz val="10"/>
        <color indexed="53"/>
        <rFont val="Arial"/>
        <family val="2"/>
      </rPr>
      <t>HF</t>
    </r>
  </si>
  <si>
    <r>
      <t>t</t>
    </r>
    <r>
      <rPr>
        <vertAlign val="superscript"/>
        <sz val="10"/>
        <color indexed="53"/>
        <rFont val="Arial"/>
        <family val="2"/>
      </rPr>
      <t>II</t>
    </r>
    <r>
      <rPr>
        <vertAlign val="subscript"/>
        <sz val="10"/>
        <color indexed="53"/>
        <rFont val="Arial"/>
        <family val="2"/>
      </rPr>
      <t>HF,m</t>
    </r>
  </si>
  <si>
    <t>tIKF</t>
  </si>
  <si>
    <t>tIIKF,m</t>
  </si>
  <si>
    <r>
      <t>[g</t>
    </r>
    <r>
      <rPr>
        <b/>
        <vertAlign val="subscript"/>
        <sz val="10"/>
        <color indexed="12"/>
        <rFont val="Arial"/>
        <family val="2"/>
      </rPr>
      <t>W/</t>
    </r>
    <r>
      <rPr>
        <b/>
        <sz val="10"/>
        <color indexed="12"/>
        <rFont val="Arial"/>
        <family val="2"/>
      </rPr>
      <t>kg</t>
    </r>
    <r>
      <rPr>
        <b/>
        <vertAlign val="subscript"/>
        <sz val="10"/>
        <color indexed="12"/>
        <rFont val="Arial"/>
        <family val="2"/>
      </rPr>
      <t>trL]</t>
    </r>
  </si>
  <si>
    <r>
      <t>x</t>
    </r>
    <r>
      <rPr>
        <vertAlign val="subscript"/>
        <sz val="10"/>
        <color indexed="12"/>
        <rFont val="Arial"/>
        <family val="2"/>
      </rPr>
      <t>e</t>
    </r>
  </si>
  <si>
    <r>
      <t>x</t>
    </r>
    <r>
      <rPr>
        <vertAlign val="subscript"/>
        <sz val="10"/>
        <color indexed="12"/>
        <rFont val="Arial"/>
        <family val="2"/>
      </rPr>
      <t>a</t>
    </r>
  </si>
  <si>
    <r>
      <t>D</t>
    </r>
    <r>
      <rPr>
        <b/>
        <sz val="10"/>
        <color indexed="14"/>
        <rFont val="Arial"/>
        <family val="0"/>
      </rPr>
      <t>Q</t>
    </r>
    <r>
      <rPr>
        <b/>
        <vertAlign val="subscript"/>
        <sz val="10"/>
        <color indexed="14"/>
        <rFont val="Arial"/>
        <family val="2"/>
      </rPr>
      <t>(s+l)</t>
    </r>
  </si>
  <si>
    <r>
      <t>Q</t>
    </r>
    <r>
      <rPr>
        <b/>
        <vertAlign val="subscript"/>
        <sz val="10"/>
        <color indexed="14"/>
        <rFont val="Arial"/>
        <family val="2"/>
      </rPr>
      <t>W</t>
    </r>
  </si>
  <si>
    <r>
      <t>Q</t>
    </r>
    <r>
      <rPr>
        <b/>
        <vertAlign val="subscript"/>
        <sz val="10"/>
        <color indexed="14"/>
        <rFont val="Arial"/>
        <family val="2"/>
      </rPr>
      <t>Sole</t>
    </r>
  </si>
  <si>
    <r>
      <t>D</t>
    </r>
    <r>
      <rPr>
        <sz val="10"/>
        <color indexed="14"/>
        <rFont val="Arial"/>
        <family val="0"/>
      </rPr>
      <t>t</t>
    </r>
    <r>
      <rPr>
        <vertAlign val="subscript"/>
        <sz val="10"/>
        <color indexed="14"/>
        <rFont val="Arial"/>
        <family val="2"/>
      </rPr>
      <t>log,S</t>
    </r>
  </si>
  <si>
    <r>
      <t>a</t>
    </r>
    <r>
      <rPr>
        <vertAlign val="subscript"/>
        <sz val="10"/>
        <color indexed="12"/>
        <rFont val="Arial"/>
        <family val="2"/>
      </rPr>
      <t>Luft,Sole*</t>
    </r>
  </si>
  <si>
    <r>
      <t>a</t>
    </r>
    <r>
      <rPr>
        <vertAlign val="subscript"/>
        <sz val="10"/>
        <color indexed="10"/>
        <rFont val="Arial"/>
        <family val="2"/>
      </rPr>
      <t>Luft,Sole*</t>
    </r>
  </si>
  <si>
    <r>
      <t>Q</t>
    </r>
    <r>
      <rPr>
        <b/>
        <vertAlign val="subscript"/>
        <sz val="10"/>
        <color indexed="14"/>
        <rFont val="Arial"/>
        <family val="2"/>
      </rPr>
      <t>luft,latent</t>
    </r>
  </si>
  <si>
    <r>
      <t>Q</t>
    </r>
    <r>
      <rPr>
        <b/>
        <vertAlign val="subscript"/>
        <sz val="10"/>
        <color indexed="14"/>
        <rFont val="Arial"/>
        <family val="2"/>
      </rPr>
      <t>luft,sensibel</t>
    </r>
  </si>
  <si>
    <r>
      <t>Q</t>
    </r>
    <r>
      <rPr>
        <b/>
        <vertAlign val="subscript"/>
        <sz val="10"/>
        <color indexed="14"/>
        <rFont val="Arial"/>
        <family val="2"/>
      </rPr>
      <t>Sole,sensibel</t>
    </r>
  </si>
  <si>
    <r>
      <t>Q</t>
    </r>
    <r>
      <rPr>
        <b/>
        <vertAlign val="subscript"/>
        <sz val="10"/>
        <color indexed="14"/>
        <rFont val="Arial"/>
        <family val="2"/>
      </rPr>
      <t>Sole,latent</t>
    </r>
  </si>
  <si>
    <t>(B-C)/(B-D)</t>
  </si>
  <si>
    <t>(I*1,007)/(M*1,869)</t>
  </si>
  <si>
    <t>F o r m e l h i n t e r l e g u n g</t>
  </si>
  <si>
    <t>K*2,21*AG*1000</t>
  </si>
  <si>
    <t>(K*2,21*AG)*1000</t>
  </si>
  <si>
    <t>N-Q</t>
  </si>
  <si>
    <t>U/1000/K/2,32</t>
  </si>
  <si>
    <t>U/V/(0,2842*0,33)</t>
  </si>
  <si>
    <t>Q/0,2842/(E-D)</t>
  </si>
  <si>
    <t>1/(1/W+1/X)</t>
  </si>
  <si>
    <t>(-1)*(LN((1/((AB/2)-(1/AA)))+1))</t>
  </si>
  <si>
    <t>(B-C)/(B-20)</t>
  </si>
  <si>
    <t>(L*1,007)/(P*2,21)</t>
  </si>
  <si>
    <t>(-1)*(LN((1/((AE/2)-(1/AD)))+1))</t>
  </si>
  <si>
    <t>AD/AF*(B-20)</t>
  </si>
  <si>
    <t>W/(0,85*1,004*1000*1,14)</t>
  </si>
  <si>
    <t>AH*(((F-G)/1000)*1,14)</t>
  </si>
  <si>
    <t>Y/(0,85*1,004*1000*1,14)</t>
  </si>
  <si>
    <t>AJ*(((F-G)/1000)*1,14)</t>
  </si>
  <si>
    <t>I*((F-G)/1000)/(0,2842*0,33)</t>
  </si>
  <si>
    <t>I/K</t>
  </si>
  <si>
    <t>O/P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</si>
  <si>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</si>
  <si>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</si>
  <si>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</si>
  <si>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</si>
  <si>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</si>
  <si>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</si>
  <si>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</si>
  <si>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</si>
  <si>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</si>
  <si>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</si>
  <si>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</si>
  <si>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</si>
  <si>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</si>
  <si>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</si>
  <si>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</si>
  <si>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</si>
  <si>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</si>
  <si>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</si>
  <si>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</si>
  <si>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</si>
  <si>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</si>
  <si>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</si>
  <si>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</si>
  <si>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</si>
  <si>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</si>
  <si>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</si>
  <si>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</si>
  <si>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</si>
  <si>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</si>
  <si>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</si>
  <si>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</si>
  <si>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</si>
  <si>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</si>
  <si>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</si>
  <si>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</si>
  <si>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</si>
  <si>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</si>
  <si>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</si>
  <si>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</si>
  <si>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</si>
  <si>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 xml:space="preserve"> </t>
  </si>
  <si>
    <r>
      <t xml:space="preserve">U/(0,2842*0,33*AG)      </t>
    </r>
    <r>
      <rPr>
        <sz val="8"/>
        <rFont val="Arial"/>
        <family val="2"/>
      </rPr>
      <t>[* = auf Benetzungsgrad reduziert Wabenvlies 21,5 % Polykarbonat 33 %</t>
    </r>
    <r>
      <rPr>
        <sz val="10"/>
        <rFont val="Arial"/>
        <family val="0"/>
      </rPr>
      <t xml:space="preserve"> </t>
    </r>
  </si>
  <si>
    <t>S P A L T E N B E Z E I C H N U N G F Ü R  F O R M E L H I N T  E R L E G U N 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</si>
</sst>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"/>
    <numFmt numFmtId="166" formatCode="0.0"/>
    <numFmt numFmtId="167" formatCode="0.000"/>
    <numFmt numFmtId="168" formatCode="0.00000E+00"/>
    <numFmt numFmtId="169" formatCode="0.0000000"/>
    <numFmt numFmtId="170" formatCode="0.0E+00"/>
    <numFmt numFmtId="171" formatCode="0.0000E+00"/>
  </numFmts>
  <fonts count="50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5"/>
      <name val="Arial"/>
      <family val="2"/>
    </font>
    <font>
      <vertAlign val="subscript"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12"/>
      <name val="Symbol"/>
      <family val="1"/>
    </font>
    <font>
      <b/>
      <sz val="10"/>
      <color indexed="12"/>
      <name val="Arial"/>
      <family val="0"/>
    </font>
    <font>
      <b/>
      <vertAlign val="subscript"/>
      <sz val="10"/>
      <color indexed="12"/>
      <name val="Arial"/>
      <family val="2"/>
    </font>
    <font>
      <vertAlign val="subscript"/>
      <sz val="10"/>
      <color indexed="14"/>
      <name val="Arial"/>
      <family val="2"/>
    </font>
    <font>
      <sz val="10"/>
      <color indexed="14"/>
      <name val="Symbol"/>
      <family val="1"/>
    </font>
    <font>
      <b/>
      <sz val="10"/>
      <color indexed="14"/>
      <name val="Symbol"/>
      <family val="1"/>
    </font>
    <font>
      <b/>
      <sz val="10"/>
      <color indexed="14"/>
      <name val="Arial"/>
      <family val="2"/>
    </font>
    <font>
      <sz val="10"/>
      <color indexed="10"/>
      <name val="Symbol"/>
      <family val="1"/>
    </font>
    <font>
      <b/>
      <sz val="10"/>
      <color indexed="10"/>
      <name val="Symbol"/>
      <family val="1"/>
    </font>
    <font>
      <b/>
      <sz val="10"/>
      <color indexed="10"/>
      <name val="Arial"/>
      <family val="2"/>
    </font>
    <font>
      <vertAlign val="subscript"/>
      <sz val="10"/>
      <color indexed="15"/>
      <name val="Arial"/>
      <family val="2"/>
    </font>
    <font>
      <sz val="10"/>
      <color indexed="15"/>
      <name val="Symbol"/>
      <family val="1"/>
    </font>
    <font>
      <b/>
      <sz val="10"/>
      <color indexed="15"/>
      <name val="Symbol"/>
      <family val="1"/>
    </font>
    <font>
      <b/>
      <sz val="10"/>
      <color indexed="15"/>
      <name val="Arial"/>
      <family val="2"/>
    </font>
    <font>
      <vertAlign val="subscript"/>
      <sz val="10"/>
      <color indexed="12"/>
      <name val="Arial"/>
      <family val="2"/>
    </font>
    <font>
      <sz val="10"/>
      <color indexed="12"/>
      <name val="Symbol"/>
      <family val="1"/>
    </font>
    <font>
      <b/>
      <vertAlign val="subscript"/>
      <sz val="10"/>
      <color indexed="10"/>
      <name val="Arial"/>
      <family val="2"/>
    </font>
    <font>
      <sz val="9.25"/>
      <name val="Arial"/>
      <family val="0"/>
    </font>
    <font>
      <b/>
      <sz val="10"/>
      <color indexed="4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sz val="10"/>
      <color indexed="11"/>
      <name val="Arial"/>
      <family val="0"/>
    </font>
    <font>
      <sz val="10"/>
      <color indexed="11"/>
      <name val="Arial"/>
      <family val="0"/>
    </font>
    <font>
      <b/>
      <sz val="10"/>
      <color indexed="11"/>
      <name val="Symbol"/>
      <family val="1"/>
    </font>
    <font>
      <b/>
      <vertAlign val="subscript"/>
      <sz val="10"/>
      <color indexed="11"/>
      <name val="Arial"/>
      <family val="2"/>
    </font>
    <font>
      <sz val="10"/>
      <color indexed="11"/>
      <name val="Symbol"/>
      <family val="1"/>
    </font>
    <font>
      <vertAlign val="subscript"/>
      <sz val="10"/>
      <color indexed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vertAlign val="superscript"/>
      <sz val="10"/>
      <color indexed="53"/>
      <name val="Arial"/>
      <family val="2"/>
    </font>
    <font>
      <vertAlign val="subscript"/>
      <sz val="10"/>
      <color indexed="53"/>
      <name val="Arial"/>
      <family val="2"/>
    </font>
    <font>
      <b/>
      <vertAlign val="subscript"/>
      <sz val="10"/>
      <color indexed="14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66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7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0" fontId="0" fillId="0" borderId="0" xfId="0" applyAlignment="1">
      <alignment horizontal="center" wrapText="1"/>
    </xf>
    <xf numFmtId="0" fontId="10" fillId="0" borderId="6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left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6" xfId="0" applyFont="1" applyBorder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8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7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9" fillId="0" borderId="3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31" fillId="0" borderId="0" xfId="0" applyNumberFormat="1" applyFont="1" applyFill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8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5" borderId="0" xfId="0" applyFill="1" applyAlignment="1">
      <alignment horizontal="center" textRotation="90"/>
    </xf>
    <xf numFmtId="0" fontId="0" fillId="5" borderId="0" xfId="0" applyFill="1" applyAlignment="1">
      <alignment horizontal="center"/>
    </xf>
    <xf numFmtId="0" fontId="42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6" fontId="8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6" fontId="21" fillId="5" borderId="0" xfId="0" applyNumberFormat="1" applyFont="1" applyFill="1" applyAlignment="1">
      <alignment horizontal="center"/>
    </xf>
    <xf numFmtId="166" fontId="6" fillId="5" borderId="0" xfId="0" applyNumberFormat="1" applyFont="1" applyFill="1" applyAlignment="1">
      <alignment horizontal="center"/>
    </xf>
    <xf numFmtId="166" fontId="7" fillId="5" borderId="0" xfId="0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0" applyNumberFormat="1" applyFill="1" applyAlignment="1">
      <alignment horizontal="center" textRotation="90" wrapText="1"/>
    </xf>
    <xf numFmtId="0" fontId="0" fillId="5" borderId="0" xfId="0" applyFill="1" applyAlignment="1">
      <alignment horizontal="center" textRotation="90" wrapText="1"/>
    </xf>
    <xf numFmtId="0" fontId="0" fillId="5" borderId="0" xfId="0" applyFill="1" applyAlignment="1">
      <alignment horizontal="center" textRotation="90"/>
    </xf>
    <xf numFmtId="166" fontId="0" fillId="5" borderId="0" xfId="0" applyNumberFormat="1" applyFill="1" applyAlignment="1">
      <alignment horizontal="center" textRotation="90"/>
    </xf>
    <xf numFmtId="166" fontId="8" fillId="5" borderId="0" xfId="0" applyNumberFormat="1" applyFont="1" applyFill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W52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Diagramme'!$A$51:$A$55</c:f>
              <c:numCache>
                <c:ptCount val="5"/>
                <c:pt idx="0">
                  <c:v>2.096525423728814</c:v>
                </c:pt>
                <c:pt idx="1">
                  <c:v>4.4</c:v>
                </c:pt>
                <c:pt idx="2">
                  <c:v>9</c:v>
                </c:pt>
                <c:pt idx="3">
                  <c:v>15.1</c:v>
                </c:pt>
                <c:pt idx="4">
                  <c:v>22</c:v>
                </c:pt>
              </c:numCache>
            </c:numRef>
          </c:xVal>
          <c:yVal>
            <c:numRef>
              <c:f>'Zahlenwerte für Diagramme'!$D$51:$D$55</c:f>
              <c:numCache>
                <c:ptCount val="5"/>
                <c:pt idx="0">
                  <c:v>3.2541379142871317E-07</c:v>
                </c:pt>
                <c:pt idx="1">
                  <c:v>4.6371987779862354E-07</c:v>
                </c:pt>
                <c:pt idx="2">
                  <c:v>5.936659438363901E-07</c:v>
                </c:pt>
                <c:pt idx="3">
                  <c:v>6.876116723188602E-07</c:v>
                </c:pt>
                <c:pt idx="4">
                  <c:v>6.930456855347539E-07</c:v>
                </c:pt>
              </c:numCache>
            </c:numRef>
          </c:yVal>
          <c:smooth val="0"/>
        </c:ser>
        <c:ser>
          <c:idx val="0"/>
          <c:order val="1"/>
          <c:tx>
            <c:v>W60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Diagramme'!$A$57:$A$61</c:f>
              <c:numCache>
                <c:ptCount val="5"/>
                <c:pt idx="0">
                  <c:v>6.978399999999999</c:v>
                </c:pt>
                <c:pt idx="1">
                  <c:v>14.436190476190477</c:v>
                </c:pt>
                <c:pt idx="2">
                  <c:v>20.29286219081272</c:v>
                </c:pt>
                <c:pt idx="3">
                  <c:v>29.27422053231939</c:v>
                </c:pt>
                <c:pt idx="4">
                  <c:v>34.61441176470588</c:v>
                </c:pt>
              </c:numCache>
            </c:numRef>
          </c:xVal>
          <c:yVal>
            <c:numRef>
              <c:f>'Zahlenwerte für Diagramme'!$D$57:$D$61</c:f>
              <c:numCache>
                <c:ptCount val="5"/>
                <c:pt idx="0">
                  <c:v>4.11156249960267E-07</c:v>
                </c:pt>
                <c:pt idx="1">
                  <c:v>6.590831029354184E-07</c:v>
                </c:pt>
                <c:pt idx="2">
                  <c:v>6.819686585946628E-07</c:v>
                </c:pt>
                <c:pt idx="3">
                  <c:v>8.791083880520383E-07</c:v>
                </c:pt>
                <c:pt idx="4">
                  <c:v>8.17035237085868E-07</c:v>
                </c:pt>
              </c:numCache>
            </c:numRef>
          </c:yVal>
          <c:smooth val="0"/>
        </c:ser>
        <c:ser>
          <c:idx val="2"/>
          <c:order val="2"/>
          <c:tx>
            <c:v>P52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Diagramme'!$A$63:$A$67</c:f>
              <c:numCache>
                <c:ptCount val="5"/>
                <c:pt idx="0">
                  <c:v>2.7994708994708994</c:v>
                </c:pt>
                <c:pt idx="1">
                  <c:v>8.137055449330784</c:v>
                </c:pt>
                <c:pt idx="2">
                  <c:v>10.905420560747663</c:v>
                </c:pt>
                <c:pt idx="3">
                  <c:v>16</c:v>
                </c:pt>
                <c:pt idx="4">
                  <c:v>23.977777777777774</c:v>
                </c:pt>
              </c:numCache>
            </c:numRef>
          </c:xVal>
          <c:yVal>
            <c:numRef>
              <c:f>'Zahlenwerte für Diagramme'!$D$63:$D$67</c:f>
              <c:numCache>
                <c:ptCount val="5"/>
                <c:pt idx="0">
                  <c:v>1.9522943314473667E-07</c:v>
                </c:pt>
                <c:pt idx="1">
                  <c:v>3.799059239573256E-07</c:v>
                </c:pt>
                <c:pt idx="2">
                  <c:v>3.12503260029413E-07</c:v>
                </c:pt>
                <c:pt idx="3">
                  <c:v>2.973887232698202E-07</c:v>
                </c:pt>
                <c:pt idx="4">
                  <c:v>3.955651287082548E-07</c:v>
                </c:pt>
              </c:numCache>
            </c:numRef>
          </c:yVal>
          <c:smooth val="0"/>
        </c:ser>
        <c:ser>
          <c:idx val="3"/>
          <c:order val="3"/>
          <c:tx>
            <c:v>P60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Diagramme'!$A$69:$A$74</c:f>
              <c:numCache>
                <c:ptCount val="6"/>
                <c:pt idx="0">
                  <c:v>5.6889130434782595</c:v>
                </c:pt>
                <c:pt idx="1">
                  <c:v>10.362951653944018</c:v>
                </c:pt>
                <c:pt idx="2">
                  <c:v>12.935197568389059</c:v>
                </c:pt>
                <c:pt idx="3">
                  <c:v>16.61914040114613</c:v>
                </c:pt>
                <c:pt idx="4">
                  <c:v>20.219534883720932</c:v>
                </c:pt>
                <c:pt idx="5">
                  <c:v>27.235</c:v>
                </c:pt>
              </c:numCache>
            </c:numRef>
          </c:xVal>
          <c:yVal>
            <c:numRef>
              <c:f>'Zahlenwerte für Diagramme'!$D$69:$D$74</c:f>
              <c:numCache>
                <c:ptCount val="6"/>
                <c:pt idx="0">
                  <c:v>2.429559658856122E-07</c:v>
                </c:pt>
                <c:pt idx="1">
                  <c:v>4.605167866751522E-07</c:v>
                </c:pt>
                <c:pt idx="2">
                  <c:v>3.672423931587481E-07</c:v>
                </c:pt>
                <c:pt idx="3">
                  <c:v>3.797016734605741E-07</c:v>
                </c:pt>
                <c:pt idx="4">
                  <c:v>4.4240657596320825E-07</c:v>
                </c:pt>
                <c:pt idx="5">
                  <c:v>5.990667069714168E-07</c:v>
                </c:pt>
              </c:numCache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  <c:max val="3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Massenstromverhältnis </a:t>
                </a:r>
                <a:r>
                  <a:rPr lang="en-US" cap="none" sz="1200" b="1" i="0" u="none" baseline="0"/>
                  <a:t>P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[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valAx>
        <c:axId val="404176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Stoffübergangskoeffizient </a:t>
                </a:r>
                <a:r>
                  <a:rPr lang="en-US" cap="none" sz="1200" b="1" i="0" u="none" baseline="0"/>
                  <a:t>b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0.17125</cdr:y>
    </cdr:from>
    <cdr:to>
      <cdr:x>0.44625</cdr:x>
      <cdr:y>0.30675</cdr:y>
    </cdr:to>
    <cdr:sp>
      <cdr:nvSpPr>
        <cdr:cNvPr id="1" name="TextBox 7"/>
        <cdr:cNvSpPr txBox="1">
          <a:spLocks noChangeArrowheads="1"/>
        </cdr:cNvSpPr>
      </cdr:nvSpPr>
      <cdr:spPr>
        <a:xfrm>
          <a:off x="1390650" y="914400"/>
          <a:ext cx="29432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Wabenvliesoberfläche 
Anfangskonzentration der Sole 52 %</a:t>
          </a:r>
        </a:p>
      </cdr:txBody>
    </cdr:sp>
  </cdr:relSizeAnchor>
  <cdr:relSizeAnchor xmlns:cdr="http://schemas.openxmlformats.org/drawingml/2006/chartDrawing">
    <cdr:from>
      <cdr:x>0.4185</cdr:x>
      <cdr:y>0.04725</cdr:y>
    </cdr:from>
    <cdr:to>
      <cdr:x>0.7245</cdr:x>
      <cdr:y>0.14475</cdr:y>
    </cdr:to>
    <cdr:sp>
      <cdr:nvSpPr>
        <cdr:cNvPr id="2" name="TextBox 8"/>
        <cdr:cNvSpPr txBox="1">
          <a:spLocks noChangeArrowheads="1"/>
        </cdr:cNvSpPr>
      </cdr:nvSpPr>
      <cdr:spPr>
        <a:xfrm>
          <a:off x="4057650" y="247650"/>
          <a:ext cx="29718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Wabenvliesoberfläche 
Anfangskonzentration der Sole 60 %</a:t>
          </a:r>
        </a:p>
      </cdr:txBody>
    </cdr:sp>
  </cdr:relSizeAnchor>
  <cdr:relSizeAnchor xmlns:cdr="http://schemas.openxmlformats.org/drawingml/2006/chartDrawing">
    <cdr:from>
      <cdr:x>0.701</cdr:x>
      <cdr:y>0.48</cdr:y>
    </cdr:from>
    <cdr:to>
      <cdr:x>0.99</cdr:x>
      <cdr:y>0.61725</cdr:y>
    </cdr:to>
    <cdr:sp>
      <cdr:nvSpPr>
        <cdr:cNvPr id="3" name="TextBox 9"/>
        <cdr:cNvSpPr txBox="1">
          <a:spLocks noChangeArrowheads="1"/>
        </cdr:cNvSpPr>
      </cdr:nvSpPr>
      <cdr:spPr>
        <a:xfrm>
          <a:off x="6810375" y="2571750"/>
          <a:ext cx="28098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Polykarbonatoberfläche 
Anfangskonzentration der Sole 60 %</a:t>
          </a:r>
        </a:p>
      </cdr:txBody>
    </cdr:sp>
  </cdr:relSizeAnchor>
  <cdr:relSizeAnchor xmlns:cdr="http://schemas.openxmlformats.org/drawingml/2006/chartDrawing">
    <cdr:from>
      <cdr:x>0.6535</cdr:x>
      <cdr:y>0.668</cdr:y>
    </cdr:from>
    <cdr:to>
      <cdr:x>0.9445</cdr:x>
      <cdr:y>0.80525</cdr:y>
    </cdr:to>
    <cdr:sp>
      <cdr:nvSpPr>
        <cdr:cNvPr id="4" name="TextBox 10"/>
        <cdr:cNvSpPr txBox="1">
          <a:spLocks noChangeArrowheads="1"/>
        </cdr:cNvSpPr>
      </cdr:nvSpPr>
      <cdr:spPr>
        <a:xfrm>
          <a:off x="6343650" y="3581400"/>
          <a:ext cx="2828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Polykarbonatoberfläche 
Anfangskonzentration der Sole 52 %</a:t>
          </a:r>
        </a:p>
      </cdr:txBody>
    </cdr:sp>
  </cdr:relSizeAnchor>
  <cdr:relSizeAnchor xmlns:cdr="http://schemas.openxmlformats.org/drawingml/2006/chartDrawing">
    <cdr:from>
      <cdr:x>0.428</cdr:x>
      <cdr:y>0.219</cdr:y>
    </cdr:from>
    <cdr:to>
      <cdr:x>0.51175</cdr:x>
      <cdr:y>0.30675</cdr:y>
    </cdr:to>
    <cdr:sp>
      <cdr:nvSpPr>
        <cdr:cNvPr id="5" name="Line 11"/>
        <cdr:cNvSpPr>
          <a:spLocks/>
        </cdr:cNvSpPr>
      </cdr:nvSpPr>
      <cdr:spPr>
        <a:xfrm>
          <a:off x="4152900" y="1171575"/>
          <a:ext cx="809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</cdr:x>
      <cdr:y>0.099</cdr:y>
    </cdr:from>
    <cdr:to>
      <cdr:x>0.83475</cdr:x>
      <cdr:y>0.1935</cdr:y>
    </cdr:to>
    <cdr:sp>
      <cdr:nvSpPr>
        <cdr:cNvPr id="6" name="Line 12"/>
        <cdr:cNvSpPr>
          <a:spLocks/>
        </cdr:cNvSpPr>
      </cdr:nvSpPr>
      <cdr:spPr>
        <a:xfrm>
          <a:off x="7105650" y="523875"/>
          <a:ext cx="10001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0.6535</cdr:x>
      <cdr:y>0.448</cdr:y>
    </cdr:from>
    <cdr:to>
      <cdr:x>0.7155</cdr:x>
      <cdr:y>0.48</cdr:y>
    </cdr:to>
    <cdr:sp>
      <cdr:nvSpPr>
        <cdr:cNvPr id="7" name="Line 13"/>
        <cdr:cNvSpPr>
          <a:spLocks/>
        </cdr:cNvSpPr>
      </cdr:nvSpPr>
      <cdr:spPr>
        <a:xfrm flipH="1" flipV="1">
          <a:off x="6343650" y="2400300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0.54975</cdr:x>
      <cdr:y>0.5705</cdr:y>
    </cdr:from>
    <cdr:to>
      <cdr:x>0.6345</cdr:x>
      <cdr:y>0.655</cdr:y>
    </cdr:to>
    <cdr:sp>
      <cdr:nvSpPr>
        <cdr:cNvPr id="8" name="Line 14"/>
        <cdr:cNvSpPr>
          <a:spLocks/>
        </cdr:cNvSpPr>
      </cdr:nvSpPr>
      <cdr:spPr>
        <a:xfrm flipH="1" flipV="1">
          <a:off x="5334000" y="3057525"/>
          <a:ext cx="819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workbookViewId="0" topLeftCell="Y8">
      <selection activeCell="AP12" sqref="AP12"/>
    </sheetView>
  </sheetViews>
  <sheetFormatPr defaultColWidth="11.421875" defaultRowHeight="12.75"/>
  <cols>
    <col min="1" max="1" width="7.8515625" style="0" customWidth="1"/>
    <col min="2" max="2" width="6.8515625" style="0" customWidth="1"/>
    <col min="3" max="3" width="7.28125" style="0" customWidth="1"/>
    <col min="4" max="4" width="6.421875" style="0" customWidth="1"/>
    <col min="5" max="5" width="7.00390625" style="0" customWidth="1"/>
    <col min="6" max="7" width="8.8515625" style="0" customWidth="1"/>
    <col min="8" max="8" width="6.421875" style="0" customWidth="1"/>
    <col min="9" max="9" width="6.57421875" style="0" customWidth="1"/>
    <col min="10" max="10" width="6.00390625" style="0" customWidth="1"/>
    <col min="11" max="13" width="6.57421875" style="0" customWidth="1"/>
    <col min="14" max="14" width="6.421875" style="0" customWidth="1"/>
    <col min="15" max="15" width="10.421875" style="0" customWidth="1"/>
    <col min="16" max="16" width="8.57421875" style="0" customWidth="1"/>
    <col min="17" max="17" width="4.57421875" style="0" customWidth="1"/>
    <col min="18" max="18" width="11.140625" style="0" customWidth="1"/>
    <col min="19" max="19" width="9.28125" style="0" customWidth="1"/>
    <col min="20" max="20" width="5.57421875" style="0" customWidth="1"/>
    <col min="21" max="24" width="8.00390625" style="0" customWidth="1"/>
    <col min="25" max="25" width="8.140625" style="0" customWidth="1"/>
    <col min="26" max="31" width="4.57421875" style="0" customWidth="1"/>
    <col min="32" max="32" width="5.57421875" style="0" customWidth="1"/>
    <col min="33" max="33" width="8.00390625" style="0" customWidth="1"/>
    <col min="34" max="37" width="8.421875" style="0" customWidth="1"/>
    <col min="38" max="38" width="10.421875" style="0" customWidth="1"/>
    <col min="39" max="39" width="6.7109375" style="0" customWidth="1"/>
  </cols>
  <sheetData>
    <row r="1" spans="1:24" ht="15.75">
      <c r="A1" t="s">
        <v>10</v>
      </c>
      <c r="G1" s="9" t="s">
        <v>66</v>
      </c>
      <c r="H1" s="1"/>
      <c r="I1" s="1"/>
      <c r="J1" s="1"/>
      <c r="K1" s="1"/>
      <c r="L1" s="1"/>
      <c r="M1" s="1"/>
      <c r="N1" s="1"/>
      <c r="O1" s="1"/>
      <c r="T1" s="7" t="s">
        <v>67</v>
      </c>
      <c r="U1" s="7" t="s">
        <v>68</v>
      </c>
      <c r="V1" s="7" t="s">
        <v>78</v>
      </c>
      <c r="W1" s="7"/>
      <c r="X1" s="9" t="s">
        <v>70</v>
      </c>
    </row>
    <row r="2" spans="1:24" ht="15.75">
      <c r="A2" t="s">
        <v>8</v>
      </c>
      <c r="D2" t="s">
        <v>52</v>
      </c>
      <c r="E2" t="s">
        <v>55</v>
      </c>
      <c r="G2" s="1" t="s">
        <v>57</v>
      </c>
      <c r="H2" s="1" t="s">
        <v>58</v>
      </c>
      <c r="I2" s="1" t="s">
        <v>59</v>
      </c>
      <c r="J2" s="1" t="s">
        <v>60</v>
      </c>
      <c r="K2" s="1" t="s">
        <v>61</v>
      </c>
      <c r="L2" s="1" t="s">
        <v>62</v>
      </c>
      <c r="M2" s="1" t="s">
        <v>63</v>
      </c>
      <c r="N2" s="1" t="s">
        <v>64</v>
      </c>
      <c r="O2" s="1" t="s">
        <v>65</v>
      </c>
      <c r="T2" s="8">
        <v>60</v>
      </c>
      <c r="U2" s="8">
        <v>20</v>
      </c>
      <c r="V2" s="6">
        <f>G3+(H3*T2)+(U2*(J3+(K3*T2)))+(U2*U2*(M3+(N3*T2)+(O3*T2*T2)))</f>
        <v>2.207517896</v>
      </c>
      <c r="W2" s="6"/>
      <c r="X2" s="3">
        <f>G7+(T2*H7)+(U2*(J7*T2+I7))+(U2*U2*((T2*L7)+K7))</f>
        <v>1524.722206097</v>
      </c>
    </row>
    <row r="3" spans="1:24" ht="15.75">
      <c r="A3" t="s">
        <v>9</v>
      </c>
      <c r="D3" t="s">
        <v>81</v>
      </c>
      <c r="E3">
        <v>1.004</v>
      </c>
      <c r="G3" s="1">
        <v>3.142704316</v>
      </c>
      <c r="H3" s="1">
        <v>-0.015437097</v>
      </c>
      <c r="I3" s="1">
        <v>0</v>
      </c>
      <c r="J3" s="1">
        <v>-0.00875339</v>
      </c>
      <c r="K3" s="1">
        <v>0.000134773</v>
      </c>
      <c r="L3" s="1">
        <v>0</v>
      </c>
      <c r="M3" s="1">
        <v>1.5809E-05</v>
      </c>
      <c r="N3" s="1">
        <v>3.699E-06</v>
      </c>
      <c r="O3" s="1">
        <v>-6.3E-08</v>
      </c>
      <c r="T3" s="8">
        <v>52</v>
      </c>
      <c r="U3" s="8">
        <v>20</v>
      </c>
      <c r="V3" s="6">
        <f>G3+(H3*T3)+(U3*(J3+(K3*T3)))+(U3*U3*(M3+(N3*T3)+(O3*T3*T3)))</f>
        <v>2.320193392</v>
      </c>
      <c r="W3" s="6"/>
      <c r="X3" s="3">
        <f>G7+(T3*H7)+(U3*(J7*T3+I7))+(U3*U3*((T3*L7)+K7))</f>
        <v>1453.599731673</v>
      </c>
    </row>
    <row r="4" spans="1:4" ht="15.75">
      <c r="A4" t="s">
        <v>11</v>
      </c>
      <c r="D4" s="4" t="s">
        <v>53</v>
      </c>
    </row>
    <row r="5" spans="1:36" ht="15.75">
      <c r="A5" t="s">
        <v>12</v>
      </c>
      <c r="D5" s="4" t="s">
        <v>54</v>
      </c>
      <c r="G5" s="9" t="s">
        <v>69</v>
      </c>
      <c r="H5" s="1"/>
      <c r="I5" s="1"/>
      <c r="J5" s="1"/>
      <c r="K5" s="1"/>
      <c r="L5" s="1"/>
      <c r="N5" s="9" t="s">
        <v>66</v>
      </c>
      <c r="AG5" s="107" t="s">
        <v>232</v>
      </c>
      <c r="AH5" s="2"/>
      <c r="AI5" s="2"/>
      <c r="AJ5" s="2"/>
    </row>
    <row r="6" spans="1:36" ht="12.75">
      <c r="A6" t="s">
        <v>13</v>
      </c>
      <c r="D6" t="s">
        <v>77</v>
      </c>
      <c r="E6">
        <v>0.75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61</v>
      </c>
      <c r="L6" s="1" t="s">
        <v>62</v>
      </c>
      <c r="N6" s="1" t="s">
        <v>57</v>
      </c>
      <c r="O6" s="1" t="s">
        <v>58</v>
      </c>
      <c r="P6" s="1" t="s">
        <v>59</v>
      </c>
      <c r="Q6" s="1" t="s">
        <v>60</v>
      </c>
      <c r="R6" s="1"/>
      <c r="S6" s="1"/>
      <c r="T6" s="1"/>
      <c r="U6" s="1"/>
      <c r="V6" s="1"/>
      <c r="W6" s="1"/>
      <c r="X6" s="1"/>
      <c r="Y6" s="1"/>
      <c r="AG6" s="107"/>
      <c r="AH6" s="1"/>
      <c r="AI6" s="1"/>
      <c r="AJ6" s="1"/>
    </row>
    <row r="7" spans="7:17" ht="12.75">
      <c r="G7" s="1">
        <v>993.601758337</v>
      </c>
      <c r="H7" s="1">
        <v>9.182506083</v>
      </c>
      <c r="I7" s="1">
        <v>-0.020372421</v>
      </c>
      <c r="J7" s="1">
        <v>-0.017742419</v>
      </c>
      <c r="K7" s="1">
        <v>-0.004726655</v>
      </c>
      <c r="L7" s="1">
        <v>0.000156629</v>
      </c>
      <c r="N7">
        <v>1.0065</v>
      </c>
      <c r="O7">
        <v>5.309587</v>
      </c>
      <c r="P7">
        <v>4.758596E-07</v>
      </c>
      <c r="Q7">
        <v>-0.136145</v>
      </c>
    </row>
    <row r="8" spans="1:41" ht="12.75">
      <c r="A8" s="237" t="s">
        <v>234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</row>
    <row r="9" spans="1:41" ht="12.75">
      <c r="A9" s="224" t="s">
        <v>192</v>
      </c>
      <c r="B9" s="225" t="s">
        <v>193</v>
      </c>
      <c r="C9" s="225" t="s">
        <v>194</v>
      </c>
      <c r="D9" s="226" t="s">
        <v>195</v>
      </c>
      <c r="E9" s="226" t="s">
        <v>196</v>
      </c>
      <c r="F9" s="227" t="s">
        <v>197</v>
      </c>
      <c r="G9" s="227" t="s">
        <v>198</v>
      </c>
      <c r="H9" s="224" t="s">
        <v>199</v>
      </c>
      <c r="I9" s="228" t="s">
        <v>200</v>
      </c>
      <c r="J9" s="229" t="s">
        <v>201</v>
      </c>
      <c r="K9" s="228" t="s">
        <v>202</v>
      </c>
      <c r="L9" s="224" t="s">
        <v>203</v>
      </c>
      <c r="M9" s="228" t="s">
        <v>204</v>
      </c>
      <c r="N9" s="230" t="s">
        <v>205</v>
      </c>
      <c r="O9" s="230" t="s">
        <v>206</v>
      </c>
      <c r="P9" s="230" t="s">
        <v>84</v>
      </c>
      <c r="Q9" s="230" t="s">
        <v>207</v>
      </c>
      <c r="R9" s="230" t="s">
        <v>208</v>
      </c>
      <c r="S9" s="230" t="s">
        <v>209</v>
      </c>
      <c r="T9" s="230" t="s">
        <v>210</v>
      </c>
      <c r="U9" s="230" t="s">
        <v>211</v>
      </c>
      <c r="V9" s="231" t="s">
        <v>212</v>
      </c>
      <c r="W9" s="232" t="s">
        <v>213</v>
      </c>
      <c r="X9" s="233" t="s">
        <v>214</v>
      </c>
      <c r="Y9" s="234" t="s">
        <v>215</v>
      </c>
      <c r="Z9" s="233" t="s">
        <v>216</v>
      </c>
      <c r="AA9" s="224" t="s">
        <v>217</v>
      </c>
      <c r="AB9" s="224" t="s">
        <v>218</v>
      </c>
      <c r="AC9" s="224" t="s">
        <v>219</v>
      </c>
      <c r="AD9" s="224" t="s">
        <v>220</v>
      </c>
      <c r="AE9" s="224" t="s">
        <v>221</v>
      </c>
      <c r="AF9" s="224" t="s">
        <v>222</v>
      </c>
      <c r="AG9" s="224" t="s">
        <v>223</v>
      </c>
      <c r="AH9" s="235" t="s">
        <v>224</v>
      </c>
      <c r="AI9" s="235" t="s">
        <v>225</v>
      </c>
      <c r="AJ9" s="235" t="s">
        <v>226</v>
      </c>
      <c r="AK9" s="235" t="s">
        <v>227</v>
      </c>
      <c r="AL9" s="235" t="s">
        <v>228</v>
      </c>
      <c r="AM9" s="224" t="s">
        <v>229</v>
      </c>
      <c r="AN9" s="224" t="s">
        <v>230</v>
      </c>
      <c r="AO9" s="224" t="s">
        <v>231</v>
      </c>
    </row>
    <row r="10" spans="14:16" ht="12.75">
      <c r="N10" s="1">
        <v>1</v>
      </c>
      <c r="P10">
        <v>2</v>
      </c>
    </row>
    <row r="11" spans="2:36" ht="12.75">
      <c r="B11" s="248" t="s">
        <v>145</v>
      </c>
      <c r="C11" s="248"/>
      <c r="D11" s="247" t="s">
        <v>146</v>
      </c>
      <c r="E11" s="247"/>
      <c r="F11" s="249" t="s">
        <v>75</v>
      </c>
      <c r="G11" s="249"/>
      <c r="H11" s="245" t="s">
        <v>76</v>
      </c>
      <c r="I11" s="245"/>
      <c r="J11" s="245"/>
      <c r="K11" s="245"/>
      <c r="L11" s="245"/>
      <c r="M11" s="245"/>
      <c r="N11" s="246" t="s">
        <v>41</v>
      </c>
      <c r="O11" s="246"/>
      <c r="P11" s="246"/>
      <c r="Q11" s="246"/>
      <c r="R11" s="246"/>
      <c r="S11" s="246"/>
      <c r="T11" s="245" t="s">
        <v>14</v>
      </c>
      <c r="U11" s="245"/>
      <c r="V11" s="245"/>
      <c r="W11" s="245"/>
      <c r="X11" s="245"/>
      <c r="Y11" s="190" t="s">
        <v>79</v>
      </c>
      <c r="Z11" s="190"/>
      <c r="AA11" s="190"/>
      <c r="AB11" s="191"/>
      <c r="AC11" s="191"/>
      <c r="AD11" s="191"/>
      <c r="AF11" s="244" t="s">
        <v>94</v>
      </c>
      <c r="AG11" s="244"/>
      <c r="AH11" s="244"/>
      <c r="AI11" s="244"/>
      <c r="AJ11" s="244"/>
    </row>
    <row r="12" spans="1:41" ht="15.75">
      <c r="A12" s="9" t="s">
        <v>144</v>
      </c>
      <c r="B12" s="197" t="s">
        <v>0</v>
      </c>
      <c r="C12" s="197" t="s">
        <v>1</v>
      </c>
      <c r="D12" s="146" t="s">
        <v>0</v>
      </c>
      <c r="E12" s="146" t="s">
        <v>1</v>
      </c>
      <c r="F12" s="185" t="s">
        <v>0</v>
      </c>
      <c r="G12" s="185" t="s">
        <v>1</v>
      </c>
      <c r="H12" s="245" t="s">
        <v>4</v>
      </c>
      <c r="I12" s="245"/>
      <c r="J12" s="245" t="s">
        <v>71</v>
      </c>
      <c r="K12" s="245"/>
      <c r="L12" s="245" t="s">
        <v>5</v>
      </c>
      <c r="M12" s="245"/>
      <c r="N12" s="201" t="s">
        <v>160</v>
      </c>
      <c r="O12" s="200" t="s">
        <v>167</v>
      </c>
      <c r="P12" s="200" t="s">
        <v>166</v>
      </c>
      <c r="Q12" s="200" t="s">
        <v>161</v>
      </c>
      <c r="R12" s="200" t="s">
        <v>168</v>
      </c>
      <c r="S12" s="200" t="s">
        <v>169</v>
      </c>
      <c r="T12" s="200" t="s">
        <v>162</v>
      </c>
      <c r="U12" s="209" t="s">
        <v>162</v>
      </c>
      <c r="V12" s="210" t="s">
        <v>117</v>
      </c>
      <c r="W12" s="210" t="s">
        <v>165</v>
      </c>
      <c r="X12" s="2" t="s">
        <v>56</v>
      </c>
      <c r="Y12" s="84" t="s">
        <v>164</v>
      </c>
      <c r="Z12" s="1" t="s">
        <v>136</v>
      </c>
      <c r="AA12" s="192" t="s">
        <v>147</v>
      </c>
      <c r="AB12" s="192" t="s">
        <v>148</v>
      </c>
      <c r="AC12" s="192" t="s">
        <v>149</v>
      </c>
      <c r="AD12" s="193" t="s">
        <v>150</v>
      </c>
      <c r="AE12" s="193" t="s">
        <v>151</v>
      </c>
      <c r="AF12" s="193" t="s">
        <v>152</v>
      </c>
      <c r="AG12" s="84" t="s">
        <v>137</v>
      </c>
      <c r="AH12" s="51" t="s">
        <v>138</v>
      </c>
      <c r="AI12" s="109" t="s">
        <v>139</v>
      </c>
      <c r="AJ12" s="51" t="s">
        <v>95</v>
      </c>
      <c r="AK12" s="54" t="s">
        <v>120</v>
      </c>
      <c r="AL12" s="51" t="s">
        <v>95</v>
      </c>
      <c r="AM12" s="214" t="s">
        <v>84</v>
      </c>
      <c r="AN12" s="1" t="s">
        <v>133</v>
      </c>
      <c r="AO12" s="1" t="s">
        <v>142</v>
      </c>
    </row>
    <row r="13" spans="1:41" ht="14.25">
      <c r="A13" s="1"/>
      <c r="B13" s="197" t="s">
        <v>6</v>
      </c>
      <c r="C13" s="197" t="s">
        <v>6</v>
      </c>
      <c r="D13" s="146" t="s">
        <v>6</v>
      </c>
      <c r="E13" s="146" t="s">
        <v>6</v>
      </c>
      <c r="F13" s="185" t="s">
        <v>157</v>
      </c>
      <c r="G13" s="185" t="s">
        <v>157</v>
      </c>
      <c r="H13" s="1" t="s">
        <v>2</v>
      </c>
      <c r="I13" s="1" t="s">
        <v>3</v>
      </c>
      <c r="J13" s="1" t="s">
        <v>72</v>
      </c>
      <c r="K13" s="1" t="s">
        <v>3</v>
      </c>
      <c r="L13" s="1" t="s">
        <v>7</v>
      </c>
      <c r="M13" s="1" t="s">
        <v>3</v>
      </c>
      <c r="N13" s="200" t="s">
        <v>15</v>
      </c>
      <c r="O13" s="200" t="s">
        <v>15</v>
      </c>
      <c r="P13" s="200" t="s">
        <v>15</v>
      </c>
      <c r="Q13" s="200" t="s">
        <v>15</v>
      </c>
      <c r="R13" s="200" t="s">
        <v>15</v>
      </c>
      <c r="S13" s="200" t="s">
        <v>15</v>
      </c>
      <c r="T13" s="200" t="s">
        <v>15</v>
      </c>
      <c r="U13" s="209" t="s">
        <v>15</v>
      </c>
      <c r="V13" s="211" t="s">
        <v>82</v>
      </c>
      <c r="W13" s="211" t="s">
        <v>74</v>
      </c>
      <c r="X13" s="1" t="s">
        <v>74</v>
      </c>
      <c r="Y13" s="1" t="s">
        <v>74</v>
      </c>
      <c r="Z13" s="1" t="s">
        <v>74</v>
      </c>
      <c r="AA13" s="194" t="s">
        <v>80</v>
      </c>
      <c r="AB13" s="194" t="s">
        <v>80</v>
      </c>
      <c r="AC13" s="194" t="s">
        <v>80</v>
      </c>
      <c r="AD13" s="195" t="s">
        <v>80</v>
      </c>
      <c r="AE13" s="195" t="s">
        <v>80</v>
      </c>
      <c r="AF13" s="195" t="s">
        <v>80</v>
      </c>
      <c r="AG13" s="1" t="s">
        <v>82</v>
      </c>
      <c r="AH13" s="50" t="s">
        <v>83</v>
      </c>
      <c r="AI13" s="110" t="s">
        <v>93</v>
      </c>
      <c r="AJ13" s="50" t="s">
        <v>83</v>
      </c>
      <c r="AK13" s="55" t="s">
        <v>93</v>
      </c>
      <c r="AL13" s="50" t="s">
        <v>93</v>
      </c>
      <c r="AM13" s="103" t="s">
        <v>80</v>
      </c>
      <c r="AN13" s="1" t="s">
        <v>83</v>
      </c>
      <c r="AO13" s="1" t="s">
        <v>80</v>
      </c>
    </row>
    <row r="14" spans="2:41" ht="15.75">
      <c r="B14" s="198" t="s">
        <v>153</v>
      </c>
      <c r="C14" s="198" t="s">
        <v>154</v>
      </c>
      <c r="D14" s="146" t="s">
        <v>155</v>
      </c>
      <c r="E14" s="146" t="s">
        <v>156</v>
      </c>
      <c r="F14" s="108" t="s">
        <v>158</v>
      </c>
      <c r="G14" s="108" t="s">
        <v>159</v>
      </c>
      <c r="N14" s="202"/>
      <c r="P14" s="202"/>
      <c r="Q14" s="202"/>
      <c r="R14" s="202"/>
      <c r="S14" s="200" t="s">
        <v>166</v>
      </c>
      <c r="T14" s="59" t="s">
        <v>163</v>
      </c>
      <c r="U14" s="220"/>
      <c r="V14" s="221" t="s">
        <v>135</v>
      </c>
      <c r="W14" s="222"/>
      <c r="Y14" s="84" t="s">
        <v>118</v>
      </c>
      <c r="Z14" s="1"/>
      <c r="AA14" s="195"/>
      <c r="AB14" s="191"/>
      <c r="AC14" s="191"/>
      <c r="AD14" s="195"/>
      <c r="AE14" s="191"/>
      <c r="AF14" s="191"/>
      <c r="AH14" s="67" t="s">
        <v>117</v>
      </c>
      <c r="AI14" s="67" t="s">
        <v>117</v>
      </c>
      <c r="AJ14" s="84" t="s">
        <v>140</v>
      </c>
      <c r="AK14" s="84" t="s">
        <v>140</v>
      </c>
      <c r="AL14" s="108" t="s">
        <v>141</v>
      </c>
      <c r="AM14" s="103"/>
      <c r="AN14" s="1"/>
      <c r="AO14" s="1"/>
    </row>
    <row r="15" spans="1:41" ht="12.75">
      <c r="A15" t="s">
        <v>143</v>
      </c>
      <c r="B15" s="198">
        <v>32</v>
      </c>
      <c r="C15" s="198">
        <v>23.2</v>
      </c>
      <c r="D15" s="199">
        <v>21.23</v>
      </c>
      <c r="E15" s="199">
        <v>21.42</v>
      </c>
      <c r="F15" s="108">
        <v>12.3</v>
      </c>
      <c r="G15" s="108">
        <v>8.7</v>
      </c>
      <c r="H15" s="1">
        <v>17.3</v>
      </c>
      <c r="I15" s="11">
        <f>H15*1.144/3600</f>
        <v>0.005497555555555556</v>
      </c>
      <c r="J15" s="3">
        <v>9.44</v>
      </c>
      <c r="K15" s="11">
        <f>J15/3600</f>
        <v>0.002622222222222222</v>
      </c>
      <c r="L15" s="3">
        <v>100.3</v>
      </c>
      <c r="M15" s="11">
        <f aca="true" t="shared" si="0" ref="M15:M56">L15/1000/3600*995.345</f>
        <v>0.02773141763888889</v>
      </c>
      <c r="N15" s="203">
        <f>I15*(((1.004*(B15-C15)+(((F15-G15)/1000)*(2500+1.86*(B15-C15)))))*1000)</f>
        <v>98.37394520604448</v>
      </c>
      <c r="O15" s="204">
        <f>I15*(((1.004*(B15-C15)))*1000)</f>
        <v>48.57200284444445</v>
      </c>
      <c r="P15" s="203">
        <f>N15-O15</f>
        <v>49.801942361600034</v>
      </c>
      <c r="Q15" s="203">
        <f>M15*4.182*1000*(E15-D15)</f>
        <v>22.034829827508485</v>
      </c>
      <c r="R15" s="203">
        <f>K15*2.32*AG15*1000</f>
        <v>0</v>
      </c>
      <c r="S15" s="203">
        <f>P15</f>
        <v>49.801942361600034</v>
      </c>
      <c r="T15" s="203"/>
      <c r="U15" s="207">
        <f aca="true" t="shared" si="1" ref="U15:U38">N15-Q15</f>
        <v>76.339115378536</v>
      </c>
      <c r="V15" s="208">
        <f>U15/1000/K15/2.21</f>
        <v>13.173020139712095</v>
      </c>
      <c r="W15" s="208">
        <f>U15/V15/(0.2842*0.215)</f>
        <v>94.84167898648364</v>
      </c>
      <c r="X15" s="103">
        <f>Q15/0.2842/(E15-D15)</f>
        <v>408.0675178248886</v>
      </c>
      <c r="Y15" s="167"/>
      <c r="Z15" s="103">
        <f>1/(1/W15+1/X15)</f>
        <v>76.95585758968589</v>
      </c>
      <c r="AA15" s="196">
        <f>(B15-C15)/(B15-D15)</f>
        <v>0.8170844939647169</v>
      </c>
      <c r="AB15" s="196">
        <f>(I15*1.007)/(M15*1.869)</f>
        <v>0.10681142879522121</v>
      </c>
      <c r="AC15" s="196">
        <f>(-1)*(LN((1/((AB15/2)-(1/AA15)))+1))</f>
        <v>1.926661863238615</v>
      </c>
      <c r="AD15" s="196">
        <f>(B15-C15)/(B15-20)</f>
        <v>0.7333333333333334</v>
      </c>
      <c r="AE15" s="196">
        <f>(L15*1.007)/(P15*2.21)</f>
        <v>0.9176812293880854</v>
      </c>
      <c r="AF15" s="196"/>
      <c r="AG15" s="104"/>
      <c r="AH15" s="36">
        <f>W15/(0.85*1.004*1000*1.144)</f>
        <v>0.09714502642093457</v>
      </c>
      <c r="AI15" s="212">
        <f>AH15*(((F15-G15)/1000)*1.14)</f>
        <v>0.00039868318843151566</v>
      </c>
      <c r="AJ15" s="11">
        <f>Y15/(0.85*1.004*1000*1.14)</f>
        <v>0</v>
      </c>
      <c r="AK15" s="213">
        <f>AJ15*(((F15-G15)/1000)*1.14)</f>
        <v>0</v>
      </c>
      <c r="AL15" s="236">
        <f>(I15*((F15-G15)/1000))/(0.2842*0.215*995.345)</f>
        <v>3.2541379142871317E-07</v>
      </c>
      <c r="AM15" s="215">
        <f>I15/K15</f>
        <v>2.096525423728814</v>
      </c>
      <c r="AN15" s="1">
        <v>1</v>
      </c>
      <c r="AO15" s="3">
        <f>O15/P15</f>
        <v>0.9753033825824445</v>
      </c>
    </row>
    <row r="16" spans="1:41" ht="12.75">
      <c r="A16" t="s">
        <v>16</v>
      </c>
      <c r="B16" s="198">
        <v>32</v>
      </c>
      <c r="C16" s="198">
        <v>24.3</v>
      </c>
      <c r="D16" s="199">
        <v>21.33</v>
      </c>
      <c r="E16" s="199">
        <v>21.58</v>
      </c>
      <c r="F16" s="108">
        <v>11.9</v>
      </c>
      <c r="G16" s="108">
        <v>9.4</v>
      </c>
      <c r="H16" s="1">
        <v>35.5</v>
      </c>
      <c r="I16" s="11">
        <f aca="true" t="shared" si="2" ref="I16:I56">H16*1.144/3600</f>
        <v>0.01128111111111111</v>
      </c>
      <c r="J16" s="3">
        <f>K16*3600</f>
        <v>9.229068</v>
      </c>
      <c r="K16" s="188">
        <v>0.00256363</v>
      </c>
      <c r="L16" s="3">
        <v>101.2</v>
      </c>
      <c r="M16" s="11">
        <f t="shared" si="0"/>
        <v>0.02798025388888889</v>
      </c>
      <c r="N16" s="203">
        <f>I16*(((1.004*(B16-C16)+(((F16-G16)/1000)*(2500+1.86*(B16-C16)))))*1000)</f>
        <v>158.12287840555553</v>
      </c>
      <c r="O16" s="204">
        <f>I16*(((1.004*(B16-C16)))*1000)</f>
        <v>87.21201377777776</v>
      </c>
      <c r="P16" s="203">
        <f>N16-O16</f>
        <v>70.91086462777777</v>
      </c>
      <c r="Q16" s="203">
        <f>M16*4.182*1000*(E16-D16)</f>
        <v>29.253355440833335</v>
      </c>
      <c r="R16" s="203">
        <f aca="true" t="shared" si="3" ref="R16:R25">K16*2.32*AG16*1000</f>
        <v>27.503370261263232</v>
      </c>
      <c r="S16" s="203">
        <f aca="true" t="shared" si="4" ref="S16:S38">P16</f>
        <v>70.91086462777777</v>
      </c>
      <c r="T16" s="203">
        <f>(K16*2.32*AG16)*1000</f>
        <v>27.503370261263232</v>
      </c>
      <c r="U16" s="207">
        <f t="shared" si="1"/>
        <v>128.8695229647222</v>
      </c>
      <c r="V16" s="208">
        <f>U16/1000/K16/2.21</f>
        <v>22.74587258750415</v>
      </c>
      <c r="W16" s="208">
        <f>U16/V16/(0.2842*0.215)</f>
        <v>92.72248989411321</v>
      </c>
      <c r="X16" s="103">
        <f>Q16/0.2842/(E16-D16)</f>
        <v>411.72914061693643</v>
      </c>
      <c r="Y16" s="167">
        <f>U16/(0.2842*0.215*AG16)</f>
        <v>456.0842782778193</v>
      </c>
      <c r="Z16" s="103">
        <f aca="true" t="shared" si="5" ref="Z16:Z38">1/(1/W16+1/X16)</f>
        <v>75.6793095133619</v>
      </c>
      <c r="AA16" s="196">
        <f>(B16-C16)/(B16-D16)</f>
        <v>0.7216494845360822</v>
      </c>
      <c r="AB16" s="196">
        <f>(I16*1.007)/(M16*1.869)</f>
        <v>0.21723029652248418</v>
      </c>
      <c r="AC16" s="196">
        <f>(-1)*(LN((1/((AB16/2)-(1/AA16)))+1))</f>
        <v>1.527971147007085</v>
      </c>
      <c r="AD16" s="196">
        <f>(B16-C16)/(B16-20)</f>
        <v>0.6416666666666666</v>
      </c>
      <c r="AE16" s="196">
        <f>(L16*1.007)/(P16*2.21)</f>
        <v>0.650286785136473</v>
      </c>
      <c r="AF16" s="196">
        <f>(-1)*(LN((1/((AE16/2)-(1/AD16)))+1))</f>
        <v>1.6651299780704238</v>
      </c>
      <c r="AG16" s="104">
        <f>AD16/AF16*(B16-20)</f>
        <v>4.624263631913509</v>
      </c>
      <c r="AH16" s="36">
        <f>W16/(0.85*1.004*1000*1.144)</f>
        <v>0.09497437020133495</v>
      </c>
      <c r="AI16" s="212">
        <f>AH16*(((F16-G16)/1000)*1.14)</f>
        <v>0.00027067695507380457</v>
      </c>
      <c r="AJ16" s="11">
        <f>Y16/(0.85*1.004*1000*1.14)</f>
        <v>0.4688000097420631</v>
      </c>
      <c r="AK16" s="213">
        <f>AJ16*(((F16-G16)/1000)*1.14)</f>
        <v>0.0013360800277648797</v>
      </c>
      <c r="AL16" s="236">
        <f>(I16*((F16-G16)/1000))/(0.2842*0.215*995.345)</f>
        <v>4.6371987779862354E-07</v>
      </c>
      <c r="AM16" s="169">
        <v>4.4</v>
      </c>
      <c r="AN16" s="1">
        <v>2.1</v>
      </c>
      <c r="AO16" s="3">
        <f aca="true" t="shared" si="6" ref="AO16:AO38">O16/P16</f>
        <v>1.2298822505629747</v>
      </c>
    </row>
    <row r="17" spans="1:41" ht="12.75">
      <c r="A17" t="s">
        <v>17</v>
      </c>
      <c r="B17" s="198">
        <v>32</v>
      </c>
      <c r="C17" s="198">
        <v>24.8</v>
      </c>
      <c r="D17" s="199">
        <v>21.38</v>
      </c>
      <c r="E17" s="199">
        <v>21.63</v>
      </c>
      <c r="F17" s="108">
        <v>12</v>
      </c>
      <c r="G17" s="108">
        <v>9.7</v>
      </c>
      <c r="H17" s="1">
        <v>49.4</v>
      </c>
      <c r="I17" s="11">
        <f t="shared" si="2"/>
        <v>0.01569822222222222</v>
      </c>
      <c r="J17" s="3">
        <f>K17*3600</f>
        <v>6.2799984</v>
      </c>
      <c r="K17" s="188">
        <v>0.001744444</v>
      </c>
      <c r="L17" s="3">
        <v>101.4</v>
      </c>
      <c r="M17" s="11">
        <f t="shared" si="0"/>
        <v>0.028035550833333336</v>
      </c>
      <c r="N17" s="203">
        <f>I17*(((1.004*(B17-C17)+(((F17-G17)/1000)*(2500+1.86*(B17-C17)))))*1000)</f>
        <v>204.22761693937778</v>
      </c>
      <c r="O17" s="204">
        <f>I17*(((1.004*(B17-C17)))*1000)</f>
        <v>113.47930879999998</v>
      </c>
      <c r="P17" s="203">
        <f aca="true" t="shared" si="7" ref="P17:P38">N17-O17</f>
        <v>90.7483081393778</v>
      </c>
      <c r="Q17" s="203">
        <f>M17*4.182*1000*(E17-D17)</f>
        <v>29.311168396250004</v>
      </c>
      <c r="R17" s="203">
        <f t="shared" si="3"/>
        <v>23.660155498074115</v>
      </c>
      <c r="S17" s="203">
        <f t="shared" si="4"/>
        <v>90.7483081393778</v>
      </c>
      <c r="T17" s="203">
        <f>(K17*2.32*AG17)*1000</f>
        <v>23.660155498074115</v>
      </c>
      <c r="U17" s="207">
        <f t="shared" si="1"/>
        <v>174.91644854312779</v>
      </c>
      <c r="V17" s="208">
        <f>U17/1000/K17/2.21</f>
        <v>45.37131273512277</v>
      </c>
      <c r="W17" s="208">
        <f>U17/V17/(0.2842*0.215)</f>
        <v>63.093812742418535</v>
      </c>
      <c r="X17" s="103">
        <f>Q17/0.2842/(E17-D17)</f>
        <v>412.5428345707249</v>
      </c>
      <c r="Y17" s="167">
        <f aca="true" t="shared" si="8" ref="Y17:Y25">U17/(0.2842*0.215*AG17)</f>
        <v>489.66102813051293</v>
      </c>
      <c r="Z17" s="103">
        <f t="shared" si="5"/>
        <v>54.72433736901543</v>
      </c>
      <c r="AA17" s="196">
        <f>(B17-C17)/(B17-D17)</f>
        <v>0.6779661016949151</v>
      </c>
      <c r="AB17" s="196">
        <f>(I17*1.007)/(M17*1.869)</f>
        <v>0.3016904399808108</v>
      </c>
      <c r="AC17" s="196">
        <f>(-1)*(LN((1/((AB17/2)-(1/AA17)))+1))</f>
        <v>1.407308515193474</v>
      </c>
      <c r="AD17" s="196">
        <f>(B17-C17)/(B17-20)</f>
        <v>0.6</v>
      </c>
      <c r="AE17" s="196">
        <f>(L17*1.007)/(P17*2.21)</f>
        <v>0.509139292611406</v>
      </c>
      <c r="AF17" s="196">
        <f>(-1)*(LN((1/((AE17/2)-(1/AD17)))+1))</f>
        <v>1.2315723190564771</v>
      </c>
      <c r="AG17" s="104">
        <f>AD17/AF17*(B17-20)</f>
        <v>5.846185310105061</v>
      </c>
      <c r="AH17" s="36">
        <f>W17/(0.85*1.004*1000*1.144)</f>
        <v>0.0646261239927359</v>
      </c>
      <c r="AI17" s="212">
        <f>AH17*(((F17-G17)/1000)*1.14)</f>
        <v>0.00016944969710895358</v>
      </c>
      <c r="AJ17" s="11">
        <f aca="true" t="shared" si="9" ref="AJ17:AJ38">Y17/(0.85*1.004*1000*1.14)</f>
        <v>0.5033128868740857</v>
      </c>
      <c r="AK17" s="213">
        <f>AJ17*(((F17-G17)/1000)*1.14)</f>
        <v>0.001319686389383853</v>
      </c>
      <c r="AL17" s="236">
        <f>(I17*((F17-G17)/1000))/(0.2842*0.215*995.345)</f>
        <v>5.936659438363901E-07</v>
      </c>
      <c r="AM17" s="216">
        <v>9</v>
      </c>
      <c r="AN17" s="1">
        <v>2.9</v>
      </c>
      <c r="AO17" s="3">
        <f t="shared" si="6"/>
        <v>1.250484015919176</v>
      </c>
    </row>
    <row r="18" spans="1:41" ht="12.75">
      <c r="A18" t="s">
        <v>18</v>
      </c>
      <c r="B18" s="198">
        <v>32</v>
      </c>
      <c r="C18" s="198">
        <v>25.4</v>
      </c>
      <c r="D18" s="199">
        <v>21.45</v>
      </c>
      <c r="E18" s="199">
        <v>21.75</v>
      </c>
      <c r="F18" s="108">
        <v>11.9</v>
      </c>
      <c r="G18" s="108">
        <v>9.9</v>
      </c>
      <c r="H18" s="1">
        <v>65.8</v>
      </c>
      <c r="I18" s="11">
        <f t="shared" si="2"/>
        <v>0.020909777777777774</v>
      </c>
      <c r="J18" s="3">
        <f>K18*3600</f>
        <v>4.9851648</v>
      </c>
      <c r="K18" s="188">
        <v>0.001384768</v>
      </c>
      <c r="L18" s="3">
        <v>103.4</v>
      </c>
      <c r="M18" s="11">
        <f t="shared" si="0"/>
        <v>0.028588520277777783</v>
      </c>
      <c r="N18" s="203">
        <f>I18*(((1.004*(B18-C18)+(((F18-G18)/1000)*(2500+1.86*(B18-C18)))))*1000)</f>
        <v>243.6188172195555</v>
      </c>
      <c r="O18" s="204">
        <f>I18*(((1.004*(B18-C18)))*1000)</f>
        <v>138.55655146666666</v>
      </c>
      <c r="P18" s="203">
        <f t="shared" si="7"/>
        <v>105.06226575288883</v>
      </c>
      <c r="Q18" s="203">
        <f>M18*4.182*1000*(E18-D18)</f>
        <v>35.867157540500095</v>
      </c>
      <c r="R18" s="203">
        <f t="shared" si="3"/>
        <v>21.479221580279884</v>
      </c>
      <c r="S18" s="203">
        <f t="shared" si="4"/>
        <v>105.06226575288883</v>
      </c>
      <c r="T18" s="203">
        <f>(K18*2.32*AG18)*1000</f>
        <v>21.479221580279884</v>
      </c>
      <c r="U18" s="207">
        <f t="shared" si="1"/>
        <v>207.7516596790554</v>
      </c>
      <c r="V18" s="208">
        <f>U18/1000/K18/2.21</f>
        <v>67.88521678207162</v>
      </c>
      <c r="W18" s="208">
        <f>U18/V18/(0.2842*0.215)</f>
        <v>50.08489403138962</v>
      </c>
      <c r="X18" s="103">
        <f>Q18/0.2842/(E18-D18)</f>
        <v>420.679774108609</v>
      </c>
      <c r="Y18" s="167">
        <f t="shared" si="8"/>
        <v>508.54388227703066</v>
      </c>
      <c r="Z18" s="103">
        <f t="shared" si="5"/>
        <v>44.756336516556026</v>
      </c>
      <c r="AA18" s="196">
        <f>(B18-C18)/(B18-D18)</f>
        <v>0.6255924170616115</v>
      </c>
      <c r="AB18" s="196">
        <f>(I18*1.007)/(M18*1.869)</f>
        <v>0.39407411538163317</v>
      </c>
      <c r="AC18" s="196">
        <f>(-1)*(LN((1/((AB18/2)-(1/AA18)))+1))</f>
        <v>1.2501836279849938</v>
      </c>
      <c r="AD18" s="196">
        <f>(B18-C18)/(B18-20)</f>
        <v>0.5500000000000002</v>
      </c>
      <c r="AE18" s="196">
        <f>(L18*1.007)/(P18*2.21)</f>
        <v>0.4484468452239122</v>
      </c>
      <c r="AF18" s="196">
        <f>(-1)*(LN((1/((AE18/2)-(1/AD18)))+1))</f>
        <v>0.9871664825818012</v>
      </c>
      <c r="AG18" s="104">
        <f>AD18/AF18*(B18-20)</f>
        <v>6.68580236105524</v>
      </c>
      <c r="AH18" s="36">
        <f>W18/(0.85*1.004*1000*1.144)</f>
        <v>0.051301267606855196</v>
      </c>
      <c r="AI18" s="212">
        <f>AH18*(((F18-G18)/1000)*1.14)</f>
        <v>0.00011696689014362984</v>
      </c>
      <c r="AJ18" s="11">
        <f t="shared" si="9"/>
        <v>0.5227221992083583</v>
      </c>
      <c r="AK18" s="213">
        <f>AJ18*(((F18-G18)/1000)*1.14)</f>
        <v>0.001191806614195057</v>
      </c>
      <c r="AL18" s="236">
        <f>(I18*((F18-G18)/1000))/(0.2842*0.215*995.345)</f>
        <v>6.876116723188602E-07</v>
      </c>
      <c r="AM18" s="169">
        <v>15.1</v>
      </c>
      <c r="AN18" s="1">
        <v>3.8</v>
      </c>
      <c r="AO18" s="3">
        <f t="shared" si="6"/>
        <v>1.3188041441306615</v>
      </c>
    </row>
    <row r="19" spans="1:41" ht="12.75">
      <c r="A19" t="s">
        <v>19</v>
      </c>
      <c r="B19" s="198">
        <v>32</v>
      </c>
      <c r="C19" s="198">
        <v>25.7</v>
      </c>
      <c r="D19" s="199">
        <v>21.5</v>
      </c>
      <c r="E19" s="199">
        <v>21.82</v>
      </c>
      <c r="F19" s="108">
        <v>11.9</v>
      </c>
      <c r="G19" s="108">
        <v>10.3</v>
      </c>
      <c r="H19" s="1">
        <v>82.9</v>
      </c>
      <c r="I19" s="11">
        <f t="shared" si="2"/>
        <v>0.026343777777777775</v>
      </c>
      <c r="J19" s="3">
        <f>K19*3600</f>
        <v>4.3101828</v>
      </c>
      <c r="K19" s="188">
        <v>0.001197273</v>
      </c>
      <c r="L19" s="3">
        <v>103.4</v>
      </c>
      <c r="M19" s="11">
        <f t="shared" si="0"/>
        <v>0.028588520277777783</v>
      </c>
      <c r="N19" s="203">
        <f>I19*(((1.004*(B19-C19)+(((F19-G19)/1000)*(2500+1.86*(B19-C19)))))*1000)</f>
        <v>272.49868853191106</v>
      </c>
      <c r="O19" s="204">
        <f>I19*(((1.004*(B19-C19)))*1000)</f>
        <v>166.6296632</v>
      </c>
      <c r="P19" s="203">
        <f t="shared" si="7"/>
        <v>105.86902533191105</v>
      </c>
      <c r="Q19" s="203">
        <f>M19*4.182*1000*(E19-D19)</f>
        <v>38.25830137653338</v>
      </c>
      <c r="R19" s="203">
        <f t="shared" si="3"/>
        <v>19.389986223663485</v>
      </c>
      <c r="S19" s="203">
        <f t="shared" si="4"/>
        <v>105.86902533191105</v>
      </c>
      <c r="T19" s="203">
        <f>(K19*2.32*AG19)*1000</f>
        <v>19.389986223663485</v>
      </c>
      <c r="U19" s="207">
        <f t="shared" si="1"/>
        <v>234.24038715537768</v>
      </c>
      <c r="V19" s="208">
        <f>U19/1000/K19/2.21</f>
        <v>88.52711571184948</v>
      </c>
      <c r="W19" s="208">
        <f>U19/V19/(0.2842*0.215)</f>
        <v>43.30349295451942</v>
      </c>
      <c r="X19" s="103">
        <f>Q19/0.2842/(E19-D19)</f>
        <v>420.6797741086091</v>
      </c>
      <c r="Y19" s="167">
        <f t="shared" si="8"/>
        <v>549.1650838110328</v>
      </c>
      <c r="Z19" s="103">
        <f t="shared" si="5"/>
        <v>39.26198405715873</v>
      </c>
      <c r="AA19" s="196">
        <f>(B19-C19)/(B19-D19)</f>
        <v>0.6000000000000001</v>
      </c>
      <c r="AB19" s="196">
        <f>(I19*1.007)/(M19*1.869)</f>
        <v>0.49648547363430684</v>
      </c>
      <c r="AC19" s="196">
        <f>(-1)*(LN((1/((AB19/2)-(1/AA19)))+1))</f>
        <v>1.2208065208057788</v>
      </c>
      <c r="AD19" s="196">
        <f>(B19-C19)/(B19-20)</f>
        <v>0.525</v>
      </c>
      <c r="AE19" s="196">
        <f>(L19*1.007)/(P19*2.21)</f>
        <v>0.44502952096941534</v>
      </c>
      <c r="AF19" s="196">
        <f>(-1)*(LN((1/((AE19/2)-(1/AD19)))+1))</f>
        <v>0.902493790668291</v>
      </c>
      <c r="AG19" s="104">
        <f>AD19/AF19*(B19-20)</f>
        <v>6.980657446224521</v>
      </c>
      <c r="AH19" s="36">
        <f>W19/(0.85*1.004*1000*1.144)</f>
        <v>0.044355171820451046</v>
      </c>
      <c r="AI19" s="212">
        <f>AH19*(((F19-G19)/1000)*1.14)</f>
        <v>8.090383340050268E-05</v>
      </c>
      <c r="AJ19" s="11">
        <f t="shared" si="9"/>
        <v>0.5644759289066982</v>
      </c>
      <c r="AK19" s="213">
        <f>AJ19*(((F19-G19)/1000)*1.14)</f>
        <v>0.001029604094325817</v>
      </c>
      <c r="AL19" s="236">
        <f>(I19*((F19-G19)/1000))/(0.2842*0.215*995.345)</f>
        <v>6.930456855347539E-07</v>
      </c>
      <c r="AM19" s="216">
        <v>22</v>
      </c>
      <c r="AN19" s="1">
        <v>4.8</v>
      </c>
      <c r="AO19" s="3">
        <f t="shared" si="6"/>
        <v>1.5739227094761445</v>
      </c>
    </row>
    <row r="20" spans="2:41" ht="12.75">
      <c r="B20" s="198"/>
      <c r="C20" s="198"/>
      <c r="D20" s="199"/>
      <c r="E20" s="199"/>
      <c r="F20" s="108"/>
      <c r="G20" s="108"/>
      <c r="H20" s="1"/>
      <c r="I20" s="11"/>
      <c r="J20" s="3"/>
      <c r="K20" s="11"/>
      <c r="L20" s="3"/>
      <c r="M20" s="11"/>
      <c r="N20" s="205"/>
      <c r="O20" s="205"/>
      <c r="P20" s="205"/>
      <c r="Q20" s="205"/>
      <c r="R20" s="203"/>
      <c r="S20" s="203"/>
      <c r="T20" s="205"/>
      <c r="U20" s="204"/>
      <c r="V20" s="218"/>
      <c r="W20" s="219"/>
      <c r="X20" s="186"/>
      <c r="Y20" s="167"/>
      <c r="Z20" s="186"/>
      <c r="AA20" s="196"/>
      <c r="AB20" s="196"/>
      <c r="AC20" s="196"/>
      <c r="AD20" s="196"/>
      <c r="AE20" s="196"/>
      <c r="AF20" s="196"/>
      <c r="AG20" s="104"/>
      <c r="AH20" s="36"/>
      <c r="AI20" s="212"/>
      <c r="AJ20" s="11"/>
      <c r="AK20" s="213"/>
      <c r="AL20" s="236"/>
      <c r="AM20" s="103"/>
      <c r="AN20" s="1"/>
      <c r="AO20" s="3"/>
    </row>
    <row r="21" spans="1:41" ht="12.75">
      <c r="A21" t="s">
        <v>20</v>
      </c>
      <c r="B21" s="198">
        <v>32.2</v>
      </c>
      <c r="C21" s="198">
        <v>24.3</v>
      </c>
      <c r="D21" s="199">
        <v>21.43</v>
      </c>
      <c r="E21" s="199">
        <v>21.71</v>
      </c>
      <c r="F21" s="108">
        <v>12.3</v>
      </c>
      <c r="G21" s="108">
        <v>8</v>
      </c>
      <c r="H21" s="1">
        <v>18.3</v>
      </c>
      <c r="I21" s="11">
        <f t="shared" si="2"/>
        <v>0.005815333333333333</v>
      </c>
      <c r="J21" s="3">
        <v>3</v>
      </c>
      <c r="K21" s="11">
        <f aca="true" t="shared" si="10" ref="K21:K38">J21/3600</f>
        <v>0.0008333333333333334</v>
      </c>
      <c r="L21" s="3">
        <v>101.6</v>
      </c>
      <c r="M21" s="11">
        <f t="shared" si="0"/>
        <v>0.028090847777777775</v>
      </c>
      <c r="N21" s="205">
        <f>I21*((1.004*(B21-C21)+(((F21-G21)/1000)*(2500+1.86*(B21-C21)))))*1000</f>
        <v>109.00716838440003</v>
      </c>
      <c r="O21" s="170">
        <f>N40</f>
        <v>49.774868000000005</v>
      </c>
      <c r="P21" s="205">
        <f t="shared" si="7"/>
        <v>59.23230038440003</v>
      </c>
      <c r="Q21" s="205">
        <f>M21*4.182*1000*(E21-D21)</f>
        <v>32.8932591138668</v>
      </c>
      <c r="R21" s="203">
        <f t="shared" si="3"/>
        <v>7.573158776571165</v>
      </c>
      <c r="S21" s="203">
        <f t="shared" si="4"/>
        <v>59.23230038440003</v>
      </c>
      <c r="T21" s="205">
        <f>(K21*2.32*AG21)*1000</f>
        <v>7.573158776571165</v>
      </c>
      <c r="U21" s="207">
        <f t="shared" si="1"/>
        <v>76.11390927053324</v>
      </c>
      <c r="V21" s="208">
        <f>U21/1000/K21/2.32</f>
        <v>39.36926341579306</v>
      </c>
      <c r="W21" s="208">
        <f>U21/V21/(0.2842*0.215)</f>
        <v>31.640563202024996</v>
      </c>
      <c r="X21" s="103">
        <f>Q21/0.2842/(E21-D21)</f>
        <v>413.35652852451324</v>
      </c>
      <c r="Y21" s="167">
        <f t="shared" si="8"/>
        <v>318.00296651351647</v>
      </c>
      <c r="Z21" s="103">
        <f t="shared" si="5"/>
        <v>29.39082885913955</v>
      </c>
      <c r="AA21" s="196">
        <f>(B21-C21)/(B21-D21)</f>
        <v>0.7335190343546889</v>
      </c>
      <c r="AB21" s="196">
        <f>(I21*1.007)/(M21*1.869)</f>
        <v>0.11153981921586442</v>
      </c>
      <c r="AC21" s="196">
        <f>(-1)*(LN((1/((AB21/2)-(1/AA21)))+1))</f>
        <v>1.4473443083009538</v>
      </c>
      <c r="AD21" s="196">
        <f>(B21-C21)/(B21-20)</f>
        <v>0.6475409836065574</v>
      </c>
      <c r="AE21" s="196">
        <f>(L21*1.007)/(P21*2.21)</f>
        <v>0.7815779622443425</v>
      </c>
      <c r="AF21" s="196">
        <f>(-1)*(LN((1/((AE21/2)-(1/AD21)))+1))</f>
        <v>2.0167718364210128</v>
      </c>
      <c r="AG21" s="104">
        <f>AD21/AF21*(B21-20)</f>
        <v>3.917151091329913</v>
      </c>
      <c r="AH21" s="36">
        <f>W21/(0.85*1.004*1000*1.144)</f>
        <v>0.032408993399115384</v>
      </c>
      <c r="AI21" s="212">
        <f>AH21*(((F21-G21)/1000)*1.14)</f>
        <v>0.00015886888564246363</v>
      </c>
      <c r="AJ21" s="11">
        <f t="shared" si="9"/>
        <v>0.326868960189702</v>
      </c>
      <c r="AK21" s="213">
        <f>AJ21*(((F21-G21)/1000)*1.14)</f>
        <v>0.0016023116428499197</v>
      </c>
      <c r="AL21" s="236">
        <f>(I21*((F21-G21)/1000))/(0.2842*0.215*995.345)</f>
        <v>4.11156249960267E-07</v>
      </c>
      <c r="AM21" s="215">
        <f aca="true" t="shared" si="11" ref="AM21:AM38">I21/K21</f>
        <v>6.978399999999999</v>
      </c>
      <c r="AN21" s="1">
        <v>1.1</v>
      </c>
      <c r="AO21" s="3">
        <f t="shared" si="6"/>
        <v>0.8403331911301082</v>
      </c>
    </row>
    <row r="22" spans="1:41" ht="12.75">
      <c r="A22" t="s">
        <v>21</v>
      </c>
      <c r="B22" s="198">
        <v>32.7</v>
      </c>
      <c r="C22" s="198">
        <v>25.3</v>
      </c>
      <c r="D22" s="199">
        <v>21.5</v>
      </c>
      <c r="E22" s="199">
        <v>21.84</v>
      </c>
      <c r="F22" s="108">
        <v>12.1</v>
      </c>
      <c r="G22" s="108">
        <v>8.7</v>
      </c>
      <c r="H22" s="1">
        <v>37.1</v>
      </c>
      <c r="I22" s="11">
        <f t="shared" si="2"/>
        <v>0.011789555555555555</v>
      </c>
      <c r="J22" s="3">
        <v>2.94</v>
      </c>
      <c r="K22" s="11">
        <f t="shared" si="10"/>
        <v>0.0008166666666666666</v>
      </c>
      <c r="L22" s="3">
        <v>103.6</v>
      </c>
      <c r="M22" s="11">
        <f t="shared" si="0"/>
        <v>0.028643817222222222</v>
      </c>
      <c r="N22" s="205">
        <f>I22*((1.004*(B22-C22)+(((F22-G22)/1000)*(2500+1.86*(B22-C22)))))*1000</f>
        <v>188.35462708284447</v>
      </c>
      <c r="O22" s="170">
        <f>N41</f>
        <v>88.86268502222222</v>
      </c>
      <c r="P22" s="205">
        <f t="shared" si="7"/>
        <v>99.49194206062225</v>
      </c>
      <c r="Q22" s="205">
        <f>M22*4.182*1000*(E22-D22)</f>
        <v>40.728070831933316</v>
      </c>
      <c r="R22" s="203">
        <f t="shared" si="3"/>
        <v>12.43564075387481</v>
      </c>
      <c r="S22" s="203">
        <f t="shared" si="4"/>
        <v>99.49194206062225</v>
      </c>
      <c r="T22" s="205">
        <f>(K22*2.32*AG22)*1000</f>
        <v>12.43564075387481</v>
      </c>
      <c r="U22" s="207">
        <f t="shared" si="1"/>
        <v>147.62655625091116</v>
      </c>
      <c r="V22" s="208">
        <f>U22/1000/K22/2.32</f>
        <v>77.91690161026277</v>
      </c>
      <c r="W22" s="208">
        <f>U22/V22/(0.2842*0.215)</f>
        <v>31.00775193798449</v>
      </c>
      <c r="X22" s="103">
        <f>Q22/0.2842/(E22-D22)</f>
        <v>421.49346806239737</v>
      </c>
      <c r="Y22" s="167">
        <f t="shared" si="8"/>
        <v>368.1006653606367</v>
      </c>
      <c r="Z22" s="103">
        <f t="shared" si="5"/>
        <v>28.882938483897515</v>
      </c>
      <c r="AA22" s="196">
        <f aca="true" t="shared" si="12" ref="AA22:AA38">(B22-C22)/(B22-D22)</f>
        <v>0.6607142857142857</v>
      </c>
      <c r="AB22" s="196">
        <f aca="true" t="shared" si="13" ref="AB22:AB38">(I22*1.007)/(M22*1.869)</f>
        <v>0.22176178500723184</v>
      </c>
      <c r="AC22" s="196">
        <f aca="true" t="shared" si="14" ref="AC22:AC38">(-1)*(LN((1/((AB22/2)-(1/AA22)))+1))</f>
        <v>1.2480816575812106</v>
      </c>
      <c r="AD22" s="196">
        <f>(B22-C22)/(B22-20)</f>
        <v>0.5826771653543308</v>
      </c>
      <c r="AE22" s="196">
        <f>(L22*1.007)/(P22*2.21)</f>
        <v>0.47447031259994166</v>
      </c>
      <c r="AF22" s="196">
        <f>(-1)*(LN((1/((AE22/2)-(1/AD22)))+1))</f>
        <v>1.1274476008777183</v>
      </c>
      <c r="AG22" s="104">
        <f>AD22/AF22*(B22-20)</f>
        <v>6.563497934838923</v>
      </c>
      <c r="AH22" s="36">
        <f>W22/(0.85*1.004*1000*1.144)</f>
        <v>0.03176081353113307</v>
      </c>
      <c r="AI22" s="212">
        <f>AH22*(((F22-G22)/1000)*1.14)</f>
        <v>0.00012310491324667177</v>
      </c>
      <c r="AJ22" s="11">
        <f t="shared" si="9"/>
        <v>0.37836339406115144</v>
      </c>
      <c r="AK22" s="213">
        <f>AJ22*(((F22-G22)/1000)*1.14)</f>
        <v>0.001466536515381023</v>
      </c>
      <c r="AL22" s="236">
        <f>(I22*((F22-G22)/1000))/(0.2842*0.215*995.345)</f>
        <v>6.590831029354184E-07</v>
      </c>
      <c r="AM22" s="215">
        <f t="shared" si="11"/>
        <v>14.436190476190477</v>
      </c>
      <c r="AN22" s="1">
        <v>2.1</v>
      </c>
      <c r="AO22" s="3">
        <f t="shared" si="6"/>
        <v>0.8931646441083296</v>
      </c>
    </row>
    <row r="23" spans="1:41" ht="12.75">
      <c r="A23" t="s">
        <v>22</v>
      </c>
      <c r="B23" s="198">
        <v>32.4</v>
      </c>
      <c r="C23" s="198">
        <v>26</v>
      </c>
      <c r="D23" s="199">
        <v>21.55</v>
      </c>
      <c r="E23" s="199">
        <v>21.94</v>
      </c>
      <c r="F23" s="108">
        <v>11.2</v>
      </c>
      <c r="G23" s="108">
        <v>8.6</v>
      </c>
      <c r="H23" s="1">
        <v>50.2</v>
      </c>
      <c r="I23" s="11">
        <f t="shared" si="2"/>
        <v>0.015952444444444443</v>
      </c>
      <c r="J23" s="3">
        <v>2.83</v>
      </c>
      <c r="K23" s="11">
        <f t="shared" si="10"/>
        <v>0.0007861111111111111</v>
      </c>
      <c r="L23" s="3">
        <v>103.9</v>
      </c>
      <c r="M23" s="11">
        <f t="shared" si="0"/>
        <v>0.028726762638888893</v>
      </c>
      <c r="N23" s="205">
        <f>I23*((1.004*(B23-C23)+(((F23-G23)/1000)*(2500+1.86*(B23-C23)))))*1000</f>
        <v>206.6886504476444</v>
      </c>
      <c r="O23" s="170">
        <f>N42</f>
        <v>112.12612204444446</v>
      </c>
      <c r="P23" s="205">
        <f t="shared" si="7"/>
        <v>94.56252840319993</v>
      </c>
      <c r="Q23" s="205">
        <f>M23*4.182*1000*(E23-D23)</f>
        <v>46.85277532877508</v>
      </c>
      <c r="R23" s="203">
        <f t="shared" si="3"/>
        <v>12.994764844176542</v>
      </c>
      <c r="S23" s="203">
        <f t="shared" si="4"/>
        <v>94.56252840319993</v>
      </c>
      <c r="T23" s="205">
        <f>(K23*2.32*AG23)*1000</f>
        <v>12.994764844176542</v>
      </c>
      <c r="U23" s="207">
        <f t="shared" si="1"/>
        <v>159.8358751188693</v>
      </c>
      <c r="V23" s="208">
        <f>U23/1000/K23/2.32</f>
        <v>87.63999488667136</v>
      </c>
      <c r="W23" s="208">
        <f>U23/V23/(0.2842*0.215)</f>
        <v>29.847597953910245</v>
      </c>
      <c r="X23" s="103">
        <f>Q23/0.2842/(E23-D23)</f>
        <v>422.7140089930801</v>
      </c>
      <c r="Y23" s="167">
        <f t="shared" si="8"/>
        <v>367.12606933378714</v>
      </c>
      <c r="Z23" s="103">
        <f t="shared" si="5"/>
        <v>27.879072365475572</v>
      </c>
      <c r="AA23" s="196">
        <f t="shared" si="12"/>
        <v>0.5898617511520737</v>
      </c>
      <c r="AB23" s="196">
        <f t="shared" si="13"/>
        <v>0.29919940397874034</v>
      </c>
      <c r="AC23" s="196">
        <f t="shared" si="14"/>
        <v>1.0411476144916185</v>
      </c>
      <c r="AD23" s="196">
        <f>(B23-C23)/(B23-20)</f>
        <v>0.5161290322580645</v>
      </c>
      <c r="AE23" s="196">
        <f>(L23*1.007)/(P23*2.21)</f>
        <v>0.5006493637881183</v>
      </c>
      <c r="AF23" s="196">
        <f>(-1)*(LN((1/((AE23/2)-(1/AD23)))+1))</f>
        <v>0.8982215467337628</v>
      </c>
      <c r="AG23" s="104">
        <f>AD23/AF23*(B23-20)</f>
        <v>7.125190910051717</v>
      </c>
      <c r="AH23" s="36">
        <f>W23/(0.85*1.004*1000*1.144)</f>
        <v>0.030572483773165512</v>
      </c>
      <c r="AI23" s="212">
        <f>AH23*(((F23-G23)/1000)*1.14)</f>
        <v>9.061684190366255E-05</v>
      </c>
      <c r="AJ23" s="11">
        <f t="shared" si="9"/>
        <v>0.3773616260795694</v>
      </c>
      <c r="AK23" s="213">
        <f>AJ23*(((F23-G23)/1000)*1.14)</f>
        <v>0.0011184998596998434</v>
      </c>
      <c r="AL23" s="236">
        <f>(I23*((F23-G23)/1000))/(0.2842*0.215*995.345)</f>
        <v>6.819686585946628E-07</v>
      </c>
      <c r="AM23" s="215">
        <f t="shared" si="11"/>
        <v>20.29286219081272</v>
      </c>
      <c r="AN23" s="1">
        <v>2.83</v>
      </c>
      <c r="AO23" s="3">
        <f t="shared" si="6"/>
        <v>1.18573523717932</v>
      </c>
    </row>
    <row r="24" spans="1:41" ht="12.75">
      <c r="A24" t="s">
        <v>23</v>
      </c>
      <c r="B24" s="198">
        <v>32.1</v>
      </c>
      <c r="C24" s="198">
        <v>26.6</v>
      </c>
      <c r="D24" s="199">
        <v>21.65</v>
      </c>
      <c r="E24" s="199">
        <v>22.1</v>
      </c>
      <c r="F24" s="108">
        <v>12.3</v>
      </c>
      <c r="G24" s="108">
        <v>9.8</v>
      </c>
      <c r="H24" s="1">
        <v>67.3</v>
      </c>
      <c r="I24" s="11">
        <f t="shared" si="2"/>
        <v>0.02138644444444444</v>
      </c>
      <c r="J24" s="3">
        <v>2.63</v>
      </c>
      <c r="K24" s="11">
        <f t="shared" si="10"/>
        <v>0.0007305555555555555</v>
      </c>
      <c r="L24" s="3">
        <v>103.3</v>
      </c>
      <c r="M24" s="11">
        <f t="shared" si="0"/>
        <v>0.028560871805555558</v>
      </c>
      <c r="N24" s="205">
        <f>I24*((1.004*(B24-C24)+(((F24-G24)/1000)*(2500+1.86*(B24-C24)))))*1000</f>
        <v>252.30818231666663</v>
      </c>
      <c r="O24" s="170">
        <f>N43</f>
        <v>132.924792</v>
      </c>
      <c r="P24" s="205">
        <f t="shared" si="7"/>
        <v>119.38339031666663</v>
      </c>
      <c r="Q24" s="205">
        <f>M24*4.182*1000*(E24-D24)</f>
        <v>53.74870465087535</v>
      </c>
      <c r="R24" s="203">
        <f t="shared" si="3"/>
        <v>13.476434915603974</v>
      </c>
      <c r="S24" s="203">
        <f t="shared" si="4"/>
        <v>119.38339031666663</v>
      </c>
      <c r="T24" s="205">
        <f>(K24*2.32*AG24)*1000</f>
        <v>13.476434915603974</v>
      </c>
      <c r="U24" s="207">
        <f t="shared" si="1"/>
        <v>198.5594776657913</v>
      </c>
      <c r="V24" s="208">
        <f>U24/1000/K24/2.32</f>
        <v>117.15191418592644</v>
      </c>
      <c r="W24" s="208">
        <f>U24/V24/(0.2842*0.215)</f>
        <v>27.738227073775246</v>
      </c>
      <c r="X24" s="103">
        <f>Q24/0.2842/(E24-D24)</f>
        <v>420.2729271317148</v>
      </c>
      <c r="Y24" s="167">
        <f t="shared" si="8"/>
        <v>408.69027406994195</v>
      </c>
      <c r="Z24" s="103">
        <f t="shared" si="5"/>
        <v>26.02083849098248</v>
      </c>
      <c r="AA24" s="196">
        <f t="shared" si="12"/>
        <v>0.5263157894736841</v>
      </c>
      <c r="AB24" s="196">
        <f t="shared" si="13"/>
        <v>0.4034477494357946</v>
      </c>
      <c r="AC24" s="196">
        <f t="shared" si="14"/>
        <v>0.8887543521068458</v>
      </c>
      <c r="AD24" s="196">
        <f>(B24-C24)/(B24-20)</f>
        <v>0.4545454545454545</v>
      </c>
      <c r="AE24" s="196">
        <f>(L24*1.007)/(P24*2.21)</f>
        <v>0.3942698887445517</v>
      </c>
      <c r="AF24" s="196">
        <f>(-1)*(LN((1/((AE24/2)-(1/AD24)))+1))</f>
        <v>0.6917177241063467</v>
      </c>
      <c r="AG24" s="104">
        <f>AD24/AF24*(B24-20)</f>
        <v>7.9512202858552365</v>
      </c>
      <c r="AH24" s="36">
        <f>W24/(0.85*1.004*1000*1.144)</f>
        <v>0.028411884213224485</v>
      </c>
      <c r="AI24" s="212">
        <f>AH24*(((F24-G24)/1000)*1.14)</f>
        <v>8.097387000768978E-05</v>
      </c>
      <c r="AJ24" s="11">
        <f t="shared" si="9"/>
        <v>0.42008465011979124</v>
      </c>
      <c r="AK24" s="213">
        <f>AJ24*(((F24-G24)/1000)*1.14)</f>
        <v>0.0011972412528414049</v>
      </c>
      <c r="AL24" s="236">
        <f>(I24*((F24-G24)/1000))/(0.2842*0.215*995.345)</f>
        <v>8.791083880520383E-07</v>
      </c>
      <c r="AM24" s="215">
        <f t="shared" si="11"/>
        <v>29.27422053231939</v>
      </c>
      <c r="AN24" s="1">
        <v>3.9</v>
      </c>
      <c r="AO24" s="3">
        <f t="shared" si="6"/>
        <v>1.113427853300317</v>
      </c>
    </row>
    <row r="25" spans="1:41" ht="12.75">
      <c r="A25" t="s">
        <v>24</v>
      </c>
      <c r="B25" s="198">
        <v>32.1</v>
      </c>
      <c r="C25" s="198">
        <v>27</v>
      </c>
      <c r="D25" s="199">
        <v>21.75</v>
      </c>
      <c r="E25" s="199">
        <v>22.2</v>
      </c>
      <c r="F25" s="108">
        <v>11.6</v>
      </c>
      <c r="G25" s="108">
        <v>9.7</v>
      </c>
      <c r="H25" s="1">
        <v>82.3</v>
      </c>
      <c r="I25" s="11">
        <f t="shared" si="2"/>
        <v>0.02615311111111111</v>
      </c>
      <c r="J25" s="3">
        <v>2.72</v>
      </c>
      <c r="K25" s="11">
        <f t="shared" si="10"/>
        <v>0.0007555555555555556</v>
      </c>
      <c r="L25" s="3">
        <v>103.3</v>
      </c>
      <c r="M25" s="11">
        <f t="shared" si="0"/>
        <v>0.028560871805555558</v>
      </c>
      <c r="N25" s="205">
        <f>I25*((1.004*(B25-C25)+(((F25-G25)/1000)*(2500+1.86*(B25-C25)))))*1000</f>
        <v>258.61303589391116</v>
      </c>
      <c r="O25" s="170">
        <f>N44</f>
        <v>152.41275573333334</v>
      </c>
      <c r="P25" s="205">
        <f t="shared" si="7"/>
        <v>106.20028016057782</v>
      </c>
      <c r="Q25" s="205">
        <f>M25*4.182*1000*(E25-D25)</f>
        <v>53.74870465087492</v>
      </c>
      <c r="R25" s="203">
        <f t="shared" si="3"/>
        <v>14.29614374020269</v>
      </c>
      <c r="S25" s="203">
        <f t="shared" si="4"/>
        <v>106.20028016057782</v>
      </c>
      <c r="T25" s="205">
        <f>(K25*2.32*AG25)*1000</f>
        <v>14.29614374020269</v>
      </c>
      <c r="U25" s="207">
        <f t="shared" si="1"/>
        <v>204.86433124303625</v>
      </c>
      <c r="V25" s="208">
        <f>U25/1000/K25/2.32</f>
        <v>116.87239992313172</v>
      </c>
      <c r="W25" s="208">
        <f>U25/V25/(0.2842*0.215)</f>
        <v>28.687443969836</v>
      </c>
      <c r="X25" s="103">
        <f>Q25/0.2842/(E25-D25)</f>
        <v>420.27292713171477</v>
      </c>
      <c r="Y25" s="167">
        <f t="shared" si="8"/>
        <v>411.0922589163335</v>
      </c>
      <c r="Z25" s="103">
        <f t="shared" si="5"/>
        <v>26.854388104563803</v>
      </c>
      <c r="AA25" s="196">
        <f t="shared" si="12"/>
        <v>0.4927536231884059</v>
      </c>
      <c r="AB25" s="196">
        <f t="shared" si="13"/>
        <v>0.49336923890885437</v>
      </c>
      <c r="AC25" s="196">
        <f t="shared" si="14"/>
        <v>0.8231154131236493</v>
      </c>
      <c r="AD25" s="196">
        <f>(B25-C25)/(B25-20)</f>
        <v>0.4214876033057852</v>
      </c>
      <c r="AE25" s="196">
        <f>(L25*1.007)/(P25*2.21)</f>
        <v>0.4432123526127188</v>
      </c>
      <c r="AF25" s="196">
        <f>(-1)*(LN((1/((AE25/2)-(1/AD25)))+1))</f>
        <v>0.6253248075698622</v>
      </c>
      <c r="AG25" s="104">
        <f>AD25/AF25*(B25-20)</f>
        <v>8.155761515075064</v>
      </c>
      <c r="AH25" s="36">
        <f>W25/(0.85*1.004*1000*1.144)</f>
        <v>0.02938415401519795</v>
      </c>
      <c r="AI25" s="212">
        <f>AH25*(((F25-G25)/1000)*1.14)</f>
        <v>6.364607759691877E-05</v>
      </c>
      <c r="AJ25" s="11">
        <f t="shared" si="9"/>
        <v>0.4225536028397592</v>
      </c>
      <c r="AK25" s="213">
        <f>AJ25*(((F25-G25)/1000)*1.14)</f>
        <v>0.0009152511037509185</v>
      </c>
      <c r="AL25" s="236">
        <f>(I25*((F25-G25)/1000))/(0.2842*0.215*995.345)</f>
        <v>8.17035237085868E-07</v>
      </c>
      <c r="AM25" s="215">
        <f t="shared" si="11"/>
        <v>34.61441176470588</v>
      </c>
      <c r="AN25" s="1">
        <v>4.8</v>
      </c>
      <c r="AO25" s="3">
        <f t="shared" si="6"/>
        <v>1.4351445730922834</v>
      </c>
    </row>
    <row r="26" spans="2:41" ht="12.75">
      <c r="B26" s="198"/>
      <c r="C26" s="198"/>
      <c r="D26" s="199"/>
      <c r="E26" s="199"/>
      <c r="F26" s="108"/>
      <c r="G26" s="108"/>
      <c r="H26" s="1"/>
      <c r="I26" s="11"/>
      <c r="J26" s="3"/>
      <c r="K26" s="11"/>
      <c r="L26" s="3"/>
      <c r="M26" s="11"/>
      <c r="N26" s="205"/>
      <c r="O26" s="205"/>
      <c r="P26" s="205"/>
      <c r="Q26" s="205"/>
      <c r="R26" s="203"/>
      <c r="S26" s="203"/>
      <c r="T26" s="205"/>
      <c r="U26" s="204"/>
      <c r="V26" s="218"/>
      <c r="W26" s="219"/>
      <c r="X26" s="186"/>
      <c r="Y26" s="167"/>
      <c r="Z26" s="186"/>
      <c r="AA26" s="196"/>
      <c r="AB26" s="196"/>
      <c r="AC26" s="196"/>
      <c r="AD26" s="196"/>
      <c r="AE26" s="196"/>
      <c r="AF26" s="196"/>
      <c r="AG26" s="104"/>
      <c r="AH26" s="36"/>
      <c r="AI26" s="212"/>
      <c r="AJ26" s="11"/>
      <c r="AK26" s="213"/>
      <c r="AL26" s="236"/>
      <c r="AM26" s="103"/>
      <c r="AN26" s="1"/>
      <c r="AO26" s="3"/>
    </row>
    <row r="27" spans="1:41" ht="12.75">
      <c r="A27" t="s">
        <v>25</v>
      </c>
      <c r="B27" s="198">
        <v>32</v>
      </c>
      <c r="C27" s="198">
        <v>24.9</v>
      </c>
      <c r="D27" s="199">
        <v>21.55</v>
      </c>
      <c r="E27" s="199">
        <v>21.8</v>
      </c>
      <c r="F27" s="108">
        <v>12.1</v>
      </c>
      <c r="G27" s="108">
        <v>9</v>
      </c>
      <c r="H27" s="1">
        <v>18.5</v>
      </c>
      <c r="I27" s="11">
        <f t="shared" si="2"/>
        <v>0.005878888888888888</v>
      </c>
      <c r="J27" s="3">
        <v>7.56</v>
      </c>
      <c r="K27" s="11">
        <f t="shared" si="10"/>
        <v>0.0021</v>
      </c>
      <c r="L27" s="3">
        <v>99.1</v>
      </c>
      <c r="M27" s="11">
        <f t="shared" si="0"/>
        <v>0.02739963597222222</v>
      </c>
      <c r="N27" s="205">
        <f>I27*((1.004*(B27-C27)+(((F27-G27)/1000)*(2500+1.86*(B27-C27)))))*1000</f>
        <v>87.7091339251111</v>
      </c>
      <c r="O27" s="170">
        <f>N46</f>
        <v>42.21752773333335</v>
      </c>
      <c r="P27" s="205">
        <f t="shared" si="7"/>
        <v>45.491606191777755</v>
      </c>
      <c r="Q27" s="205">
        <f>M27*4.182*1000*(E27-D27)</f>
        <v>28.646319408958338</v>
      </c>
      <c r="R27" s="203">
        <f>K27*2.21*AG27*1000</f>
        <v>18.12571735952358</v>
      </c>
      <c r="S27" s="203">
        <f t="shared" si="4"/>
        <v>45.491606191777755</v>
      </c>
      <c r="T27" s="205">
        <f>(K27*2.21*AG27)*1000</f>
        <v>18.12571735952358</v>
      </c>
      <c r="U27" s="207">
        <f t="shared" si="1"/>
        <v>59.06281451615277</v>
      </c>
      <c r="V27" s="208">
        <f>U27/1000/K27/2.32</f>
        <v>12.122909383446794</v>
      </c>
      <c r="W27" s="208">
        <f>U27/V27/(0.2842*0.33)</f>
        <v>51.94805194805193</v>
      </c>
      <c r="X27" s="103">
        <f>Q27/0.2842/(E27-D27)</f>
        <v>403.18535410215816</v>
      </c>
      <c r="Y27" s="167">
        <f>U27/(0.2842*0.33*AG27)</f>
        <v>161.24731430539754</v>
      </c>
      <c r="Z27" s="103">
        <f t="shared" si="5"/>
        <v>46.018801171632774</v>
      </c>
      <c r="AA27" s="196">
        <f t="shared" si="12"/>
        <v>0.6794258373205744</v>
      </c>
      <c r="AB27" s="196">
        <f t="shared" si="13"/>
        <v>0.11560340562226089</v>
      </c>
      <c r="AC27" s="196">
        <f t="shared" si="14"/>
        <v>1.2282618521910516</v>
      </c>
      <c r="AD27" s="196">
        <f aca="true" t="shared" si="15" ref="AD27:AD38">(B27-C27)/(B27-20)</f>
        <v>0.5916666666666668</v>
      </c>
      <c r="AE27" s="196">
        <f aca="true" t="shared" si="16" ref="AE27:AE38">(L27*1.007)/(P27*2.21)</f>
        <v>0.9926121353383307</v>
      </c>
      <c r="AF27" s="196">
        <f aca="true" t="shared" si="17" ref="AF27:AF38">(-1)*(LN((1/((AE27/2)-(1/AD27)))+1))</f>
        <v>1.8179197736792967</v>
      </c>
      <c r="AG27" s="104">
        <f>AD27/AF27*(B27-20)</f>
        <v>3.9055628872061154</v>
      </c>
      <c r="AH27" s="36">
        <f aca="true" t="shared" si="18" ref="AH27:AH38">W27/(0.85*1.004*1000*1.14)</f>
        <v>0.05339637522978462</v>
      </c>
      <c r="AI27" s="212">
        <f>AH27*(((F27-G27)/1000)*1.14)</f>
        <v>0.00018870279006205878</v>
      </c>
      <c r="AJ27" s="11">
        <f t="shared" si="9"/>
        <v>0.16574292541433602</v>
      </c>
      <c r="AK27" s="213">
        <f>AJ27*(((F27-G27)/1000)*1.14)</f>
        <v>0.0005857354984142633</v>
      </c>
      <c r="AL27" s="236">
        <f>(I27*((F27-G27)/1000))/(0.2842*0.33*995.345)</f>
        <v>1.9522943314473667E-07</v>
      </c>
      <c r="AM27" s="103">
        <f t="shared" si="11"/>
        <v>2.7994708994708994</v>
      </c>
      <c r="AN27" s="1">
        <v>1.1</v>
      </c>
      <c r="AO27" s="3">
        <f t="shared" si="6"/>
        <v>0.9280289545143348</v>
      </c>
    </row>
    <row r="28" spans="1:41" ht="12.75">
      <c r="A28" t="s">
        <v>26</v>
      </c>
      <c r="B28" s="198">
        <v>32.5</v>
      </c>
      <c r="C28" s="198">
        <v>25.3</v>
      </c>
      <c r="D28" s="199">
        <v>21.55</v>
      </c>
      <c r="E28" s="199">
        <v>21.93</v>
      </c>
      <c r="F28" s="108">
        <v>14.4</v>
      </c>
      <c r="G28" s="108">
        <v>11.4</v>
      </c>
      <c r="H28" s="1">
        <v>37.2</v>
      </c>
      <c r="I28" s="11">
        <f t="shared" si="2"/>
        <v>0.011821333333333335</v>
      </c>
      <c r="J28" s="3">
        <v>5.23</v>
      </c>
      <c r="K28" s="11">
        <f t="shared" si="10"/>
        <v>0.0014527777777777779</v>
      </c>
      <c r="L28" s="3">
        <v>98</v>
      </c>
      <c r="M28" s="11">
        <f t="shared" si="0"/>
        <v>0.02709550277777778</v>
      </c>
      <c r="N28" s="205">
        <f>I28*((1.004*(B28-C28)+(((F28-G28)/1000)*(2500+1.86*(B28-C28)))))*1000</f>
        <v>174.58898828800002</v>
      </c>
      <c r="O28" s="170">
        <f>N47</f>
        <v>87.69583679999998</v>
      </c>
      <c r="P28" s="205">
        <f t="shared" si="7"/>
        <v>86.89315148800004</v>
      </c>
      <c r="Q28" s="205">
        <f>M28*4.182*1000*(E28-D28)</f>
        <v>43.05908919433323</v>
      </c>
      <c r="R28" s="203">
        <f aca="true" t="shared" si="19" ref="R28:R38">K28*2.21*AG28*1000</f>
        <v>20.508116230806024</v>
      </c>
      <c r="S28" s="203">
        <f t="shared" si="4"/>
        <v>86.89315148800004</v>
      </c>
      <c r="T28" s="205">
        <f>(K28*2.21*AG28)*1000</f>
        <v>20.508116230806024</v>
      </c>
      <c r="U28" s="207">
        <f t="shared" si="1"/>
        <v>131.52989909366678</v>
      </c>
      <c r="V28" s="208">
        <f>U28/1000/K28/2.32</f>
        <v>39.02449699489026</v>
      </c>
      <c r="W28" s="208">
        <f aca="true" t="shared" si="20" ref="W28:W38">U28/V28/(0.2842*0.33)</f>
        <v>35.93760736617879</v>
      </c>
      <c r="X28" s="103">
        <f>Q28/0.2842/(E28-D28)</f>
        <v>398.7100373563219</v>
      </c>
      <c r="Y28" s="167">
        <f aca="true" t="shared" si="21" ref="Y28:Y38">U28/(0.2842*0.33*AG28)</f>
        <v>219.5594656182409</v>
      </c>
      <c r="Z28" s="103">
        <f t="shared" si="5"/>
        <v>32.96620825959859</v>
      </c>
      <c r="AA28" s="196">
        <f t="shared" si="12"/>
        <v>0.6575342465753424</v>
      </c>
      <c r="AB28" s="196">
        <f t="shared" si="13"/>
        <v>0.2350657842772075</v>
      </c>
      <c r="AC28" s="196">
        <f t="shared" si="14"/>
        <v>1.2469004033146878</v>
      </c>
      <c r="AD28" s="196">
        <f t="shared" si="15"/>
        <v>0.576</v>
      </c>
      <c r="AE28" s="196">
        <f t="shared" si="16"/>
        <v>0.5138989422969737</v>
      </c>
      <c r="AF28" s="196">
        <f t="shared" si="17"/>
        <v>1.1271927533390742</v>
      </c>
      <c r="AG28" s="104">
        <f>AD28/AF28*(B28-20)</f>
        <v>6.387549936487345</v>
      </c>
      <c r="AH28" s="36">
        <f t="shared" si="18"/>
        <v>0.03693955587986423</v>
      </c>
      <c r="AI28" s="212">
        <f>AH28*(((F28-G28)/1000)*1.14)</f>
        <v>0.00012633328110913566</v>
      </c>
      <c r="AJ28" s="11">
        <f t="shared" si="9"/>
        <v>0.22568083251949983</v>
      </c>
      <c r="AK28" s="213">
        <f>AJ28*(((F28-G28)/1000)*1.14)</f>
        <v>0.0007718284472166894</v>
      </c>
      <c r="AL28" s="236">
        <f aca="true" t="shared" si="22" ref="AL28:AL38">(I28*((F28-G28)/1000))/(0.2842*0.33*995.345)</f>
        <v>3.799059239573256E-07</v>
      </c>
      <c r="AM28" s="215">
        <f t="shared" si="11"/>
        <v>8.137055449330784</v>
      </c>
      <c r="AN28" s="1">
        <v>2.2</v>
      </c>
      <c r="AO28" s="3">
        <f t="shared" si="6"/>
        <v>1.0092376130713914</v>
      </c>
    </row>
    <row r="29" spans="1:41" ht="12.75">
      <c r="A29" t="s">
        <v>27</v>
      </c>
      <c r="B29" s="198">
        <v>32.2</v>
      </c>
      <c r="C29" s="198">
        <v>25.7</v>
      </c>
      <c r="D29" s="199">
        <v>21.63</v>
      </c>
      <c r="E29" s="199">
        <v>21.98</v>
      </c>
      <c r="F29" s="108">
        <v>12</v>
      </c>
      <c r="G29" s="108">
        <v>10.2</v>
      </c>
      <c r="H29" s="1">
        <v>51</v>
      </c>
      <c r="I29" s="11">
        <f t="shared" si="2"/>
        <v>0.016206666666666664</v>
      </c>
      <c r="J29" s="3">
        <v>5.35</v>
      </c>
      <c r="K29" s="11">
        <f t="shared" si="10"/>
        <v>0.001486111111111111</v>
      </c>
      <c r="L29" s="3">
        <v>99.1</v>
      </c>
      <c r="M29" s="11">
        <f t="shared" si="0"/>
        <v>0.02739963597222222</v>
      </c>
      <c r="N29" s="205">
        <f>I29*((1.004*(B29-C29)+(((F29-G29)/1000)*(2500+1.86*(B29-C29)))))*1000</f>
        <v>179.04739614666673</v>
      </c>
      <c r="O29" s="170">
        <f>N48</f>
        <v>110.30711755555554</v>
      </c>
      <c r="P29" s="205">
        <f t="shared" si="7"/>
        <v>68.74027859111119</v>
      </c>
      <c r="Q29" s="205">
        <f>M29*4.182*1000*(E29-D29)</f>
        <v>40.10484717254184</v>
      </c>
      <c r="R29" s="203">
        <f t="shared" si="19"/>
        <v>20.568705972396277</v>
      </c>
      <c r="S29" s="203">
        <f t="shared" si="4"/>
        <v>68.74027859111119</v>
      </c>
      <c r="T29" s="205">
        <f>(K29*2.21*AG29)*1000</f>
        <v>20.568705972396277</v>
      </c>
      <c r="U29" s="207">
        <f t="shared" si="1"/>
        <v>138.9425489741249</v>
      </c>
      <c r="V29" s="208">
        <f>U29/1000/K29/2.32</f>
        <v>40.29916019230178</v>
      </c>
      <c r="W29" s="208">
        <f t="shared" si="20"/>
        <v>36.762179619322474</v>
      </c>
      <c r="X29" s="103">
        <f>Q29/0.2842/(E29-D29)</f>
        <v>403.18535410215816</v>
      </c>
      <c r="Y29" s="167">
        <f t="shared" si="21"/>
        <v>236.55592671626815</v>
      </c>
      <c r="Z29" s="103">
        <f t="shared" si="5"/>
        <v>33.69031821136899</v>
      </c>
      <c r="AA29" s="196">
        <f t="shared" si="12"/>
        <v>0.6149479659413435</v>
      </c>
      <c r="AB29" s="196">
        <f t="shared" si="13"/>
        <v>0.31869046955325975</v>
      </c>
      <c r="AC29" s="196">
        <f t="shared" si="14"/>
        <v>1.144924959117123</v>
      </c>
      <c r="AD29" s="196">
        <f t="shared" si="15"/>
        <v>0.5327868852459018</v>
      </c>
      <c r="AE29" s="196">
        <f t="shared" si="16"/>
        <v>0.6569004561443544</v>
      </c>
      <c r="AF29" s="196">
        <f t="shared" si="17"/>
        <v>1.0378866876584583</v>
      </c>
      <c r="AG29" s="104">
        <f>AD29/AF29*(B29-20)</f>
        <v>6.262726054097907</v>
      </c>
      <c r="AH29" s="36">
        <f t="shared" si="18"/>
        <v>0.03778711739144812</v>
      </c>
      <c r="AI29" s="212">
        <f>AH29*(((F29-G29)/1000)*1.14)</f>
        <v>7.753916488725158E-05</v>
      </c>
      <c r="AJ29" s="11">
        <f t="shared" si="9"/>
        <v>0.24315115874609733</v>
      </c>
      <c r="AK29" s="213">
        <f>AJ29*(((F29-G29)/1000)*1.14)</f>
        <v>0.0004989461777469919</v>
      </c>
      <c r="AL29" s="236">
        <f t="shared" si="22"/>
        <v>3.12503260029413E-07</v>
      </c>
      <c r="AM29" s="215">
        <f t="shared" si="11"/>
        <v>10.905420560747663</v>
      </c>
      <c r="AN29" s="1">
        <v>3</v>
      </c>
      <c r="AO29" s="3">
        <f t="shared" si="6"/>
        <v>1.6046940718948346</v>
      </c>
    </row>
    <row r="30" spans="1:41" ht="12.75">
      <c r="A30" t="s">
        <v>28</v>
      </c>
      <c r="B30" s="198">
        <v>32</v>
      </c>
      <c r="C30" s="198">
        <v>26.3</v>
      </c>
      <c r="D30" s="199">
        <v>21.7</v>
      </c>
      <c r="E30" s="199">
        <v>22.1</v>
      </c>
      <c r="F30" s="108">
        <v>11.1</v>
      </c>
      <c r="G30" s="108">
        <v>9.8</v>
      </c>
      <c r="H30" s="1">
        <v>67.2</v>
      </c>
      <c r="I30" s="11">
        <f t="shared" si="2"/>
        <v>0.021354666666666668</v>
      </c>
      <c r="J30" s="6">
        <f>K30*3600</f>
        <v>4.80375</v>
      </c>
      <c r="K30" s="11">
        <v>0.001334375</v>
      </c>
      <c r="L30" s="3">
        <v>99.6</v>
      </c>
      <c r="M30" s="11">
        <f t="shared" si="0"/>
        <v>0.02753787833333333</v>
      </c>
      <c r="N30" s="205">
        <f>I30*((1.004*(B30-C30)+(((F30-G30)/1000)*(2500+1.86*(B30-C30)))))*1000</f>
        <v>191.90547589546662</v>
      </c>
      <c r="O30" s="170">
        <f>N49</f>
        <v>137.15741404444447</v>
      </c>
      <c r="P30" s="205">
        <f t="shared" si="7"/>
        <v>54.74806185102216</v>
      </c>
      <c r="Q30" s="205">
        <f>M30*4.182*1000*(E30-D30)</f>
        <v>46.06536287600024</v>
      </c>
      <c r="R30" s="203">
        <f t="shared" si="19"/>
        <v>18.778699227310035</v>
      </c>
      <c r="S30" s="203">
        <f t="shared" si="4"/>
        <v>54.74806185102216</v>
      </c>
      <c r="T30" s="205">
        <f>(K30*2.21*AG30)*1000</f>
        <v>18.778699227310035</v>
      </c>
      <c r="U30" s="207">
        <f t="shared" si="1"/>
        <v>145.84011301946637</v>
      </c>
      <c r="V30" s="208">
        <f>U30/1000/K30/2.32</f>
        <v>47.10978374205487</v>
      </c>
      <c r="W30" s="208">
        <f t="shared" si="20"/>
        <v>33.008658008658</v>
      </c>
      <c r="X30" s="103">
        <f>Q30/0.2842/(E30-D30)</f>
        <v>405.21958898662916</v>
      </c>
      <c r="Y30" s="167">
        <f t="shared" si="21"/>
        <v>244.19886613177616</v>
      </c>
      <c r="Z30" s="103">
        <f t="shared" si="5"/>
        <v>30.522347482115748</v>
      </c>
      <c r="AA30" s="196">
        <f t="shared" si="12"/>
        <v>0.553398058252427</v>
      </c>
      <c r="AB30" s="196">
        <f t="shared" si="13"/>
        <v>0.4178135199226956</v>
      </c>
      <c r="AC30" s="196">
        <f t="shared" si="14"/>
        <v>0.982801456370298</v>
      </c>
      <c r="AD30" s="196">
        <f t="shared" si="15"/>
        <v>0.4749999999999999</v>
      </c>
      <c r="AE30" s="196">
        <f t="shared" si="16"/>
        <v>0.8289489505543522</v>
      </c>
      <c r="AF30" s="196">
        <f t="shared" si="17"/>
        <v>0.8951164120331796</v>
      </c>
      <c r="AG30" s="104">
        <f>AD30/AF30*(B30-20)</f>
        <v>6.367886817149227</v>
      </c>
      <c r="AH30" s="36">
        <f t="shared" si="18"/>
        <v>0.03392894676059231</v>
      </c>
      <c r="AI30" s="212">
        <f>AH30*(((F30-G30)/1000)*1.14)</f>
        <v>5.028269909919776E-05</v>
      </c>
      <c r="AJ30" s="11">
        <f t="shared" si="9"/>
        <v>0.2510071850182101</v>
      </c>
      <c r="AK30" s="213">
        <f>AJ30*(((F30-G30)/1000)*1.14)</f>
        <v>0.00037199264819698705</v>
      </c>
      <c r="AL30" s="236">
        <f t="shared" si="22"/>
        <v>2.973887232698202E-07</v>
      </c>
      <c r="AM30" s="217">
        <v>16</v>
      </c>
      <c r="AN30" s="1">
        <v>3.9</v>
      </c>
      <c r="AO30" s="3">
        <f t="shared" si="6"/>
        <v>2.505246933081773</v>
      </c>
    </row>
    <row r="31" spans="1:41" ht="12.75">
      <c r="A31" t="s">
        <v>29</v>
      </c>
      <c r="B31" s="198">
        <v>32</v>
      </c>
      <c r="C31" s="198">
        <v>26.8</v>
      </c>
      <c r="D31" s="199">
        <v>21.85</v>
      </c>
      <c r="E31" s="199">
        <v>22.27</v>
      </c>
      <c r="F31" s="108">
        <v>12.3</v>
      </c>
      <c r="G31" s="108">
        <v>10.9</v>
      </c>
      <c r="H31" s="1">
        <v>83</v>
      </c>
      <c r="I31" s="11">
        <f t="shared" si="2"/>
        <v>0.026375555555555555</v>
      </c>
      <c r="J31" s="3">
        <v>3.96</v>
      </c>
      <c r="K31" s="11">
        <f t="shared" si="10"/>
        <v>0.0011</v>
      </c>
      <c r="L31" s="3">
        <v>83</v>
      </c>
      <c r="M31" s="11">
        <f t="shared" si="0"/>
        <v>0.022948231944444446</v>
      </c>
      <c r="N31" s="205">
        <f>I31*((1.004*(B31-C31)+(((F31-G31)/1000)*(2500+1.86*(B31-C31)))))*1000</f>
        <v>230.3730910115556</v>
      </c>
      <c r="O31" s="170">
        <f>N50</f>
        <v>163.99812</v>
      </c>
      <c r="P31" s="205">
        <f t="shared" si="7"/>
        <v>66.3749710115556</v>
      </c>
      <c r="Q31" s="205">
        <f>M31*4.182*1000*(E31-D31)</f>
        <v>40.307192516499825</v>
      </c>
      <c r="R31" s="203">
        <f t="shared" si="19"/>
        <v>18.537147390752587</v>
      </c>
      <c r="S31" s="203">
        <f t="shared" si="4"/>
        <v>66.3749710115556</v>
      </c>
      <c r="T31" s="205">
        <f>(K31*2.21*AG31)*1000</f>
        <v>18.537147390752587</v>
      </c>
      <c r="U31" s="207">
        <f t="shared" si="1"/>
        <v>190.06589849505576</v>
      </c>
      <c r="V31" s="208">
        <f>U31/1000/K31/2.32</f>
        <v>74.47723295260805</v>
      </c>
      <c r="W31" s="208">
        <f t="shared" si="20"/>
        <v>27.2108843537415</v>
      </c>
      <c r="X31" s="103">
        <f>Q31/0.2842/(E31-D31)</f>
        <v>337.68299082219096</v>
      </c>
      <c r="Y31" s="167">
        <f t="shared" si="21"/>
        <v>265.7714007215889</v>
      </c>
      <c r="Z31" s="103">
        <f t="shared" si="5"/>
        <v>25.181712921484113</v>
      </c>
      <c r="AA31" s="196">
        <f t="shared" si="12"/>
        <v>0.5123152709359606</v>
      </c>
      <c r="AB31" s="196">
        <f t="shared" si="13"/>
        <v>0.619259324171138</v>
      </c>
      <c r="AC31" s="196">
        <f t="shared" si="14"/>
        <v>0.938803735876265</v>
      </c>
      <c r="AD31" s="196">
        <f t="shared" si="15"/>
        <v>0.4333333333333333</v>
      </c>
      <c r="AE31" s="196">
        <f t="shared" si="16"/>
        <v>0.5697849119510794</v>
      </c>
      <c r="AF31" s="196">
        <f t="shared" si="17"/>
        <v>0.6819387974606151</v>
      </c>
      <c r="AG31" s="104">
        <f>AD31/AF31*(B31-20)</f>
        <v>7.625317725525539</v>
      </c>
      <c r="AH31" s="36">
        <f t="shared" si="18"/>
        <v>0.027969529882268144</v>
      </c>
      <c r="AI31" s="212">
        <f>AH31*(((F31-G31)/1000)*1.14)</f>
        <v>4.463936969209997E-05</v>
      </c>
      <c r="AJ31" s="11">
        <f t="shared" si="9"/>
        <v>0.27318116668680176</v>
      </c>
      <c r="AK31" s="213">
        <f>AJ31*(((F31-G31)/1000)*1.14)</f>
        <v>0.0004359971420321357</v>
      </c>
      <c r="AL31" s="236">
        <f t="shared" si="22"/>
        <v>3.955651287082548E-07</v>
      </c>
      <c r="AM31" s="215">
        <f t="shared" si="11"/>
        <v>23.977777777777774</v>
      </c>
      <c r="AN31" s="1">
        <v>4.8</v>
      </c>
      <c r="AO31" s="3">
        <f t="shared" si="6"/>
        <v>2.47078254800968</v>
      </c>
    </row>
    <row r="32" spans="2:41" ht="12.75">
      <c r="B32" s="198"/>
      <c r="C32" s="198"/>
      <c r="D32" s="199"/>
      <c r="E32" s="199"/>
      <c r="F32" s="108"/>
      <c r="G32" s="108"/>
      <c r="H32" s="1"/>
      <c r="I32" s="11"/>
      <c r="J32" s="3"/>
      <c r="K32" s="11"/>
      <c r="L32" s="3"/>
      <c r="M32" s="11"/>
      <c r="N32" s="205"/>
      <c r="O32" s="205"/>
      <c r="P32" s="205"/>
      <c r="Q32" s="205"/>
      <c r="R32" s="203"/>
      <c r="S32" s="203"/>
      <c r="T32" s="205"/>
      <c r="U32" s="204"/>
      <c r="V32" s="218"/>
      <c r="W32" s="219"/>
      <c r="X32" s="186"/>
      <c r="Y32" s="167"/>
      <c r="Z32" s="186"/>
      <c r="AA32" s="196"/>
      <c r="AB32" s="196"/>
      <c r="AC32" s="196"/>
      <c r="AD32" s="196"/>
      <c r="AE32" s="196"/>
      <c r="AF32" s="196"/>
      <c r="AG32" s="104"/>
      <c r="AH32" s="36"/>
      <c r="AI32" s="212"/>
      <c r="AJ32" s="11"/>
      <c r="AK32" s="213"/>
      <c r="AL32" s="236"/>
      <c r="AM32" s="103"/>
      <c r="AN32" s="1"/>
      <c r="AO32" s="3"/>
    </row>
    <row r="33" spans="1:41" ht="12.75">
      <c r="A33" t="s">
        <v>30</v>
      </c>
      <c r="B33" s="198">
        <v>32.4</v>
      </c>
      <c r="C33" s="198">
        <v>25.3</v>
      </c>
      <c r="D33" s="199">
        <v>21.63</v>
      </c>
      <c r="E33" s="199">
        <v>21.96</v>
      </c>
      <c r="F33" s="108">
        <v>12.3</v>
      </c>
      <c r="G33" s="108">
        <v>8.4</v>
      </c>
      <c r="H33" s="1">
        <v>18.3</v>
      </c>
      <c r="I33" s="11">
        <f t="shared" si="2"/>
        <v>0.005815333333333333</v>
      </c>
      <c r="J33" s="3">
        <v>3.68</v>
      </c>
      <c r="K33" s="11">
        <f t="shared" si="10"/>
        <v>0.0010222222222222223</v>
      </c>
      <c r="L33" s="3">
        <v>101.2</v>
      </c>
      <c r="M33" s="11">
        <f t="shared" si="0"/>
        <v>0.02798025388888889</v>
      </c>
      <c r="N33" s="205">
        <f aca="true" t="shared" si="23" ref="N33:N38">I33*((1.006*(B33-C33)+(((F33-G33)/1000)*(2500+1.86*(B33-C33)))))*1000</f>
        <v>98.53560930546666</v>
      </c>
      <c r="O33" s="170">
        <f>N46</f>
        <v>42.21752773333335</v>
      </c>
      <c r="P33" s="205">
        <f t="shared" si="7"/>
        <v>56.318081572133316</v>
      </c>
      <c r="Q33" s="205">
        <f aca="true" t="shared" si="24" ref="Q33:Q38">M33*4.182*1000*(E33-D33)</f>
        <v>38.61442918190022</v>
      </c>
      <c r="R33" s="203">
        <f t="shared" si="19"/>
        <v>11.640601549491684</v>
      </c>
      <c r="S33" s="203">
        <f t="shared" si="4"/>
        <v>56.318081572133316</v>
      </c>
      <c r="T33" s="205">
        <f aca="true" t="shared" si="25" ref="T33:T38">(K33*2.21*AG33)*1000</f>
        <v>11.640601549491684</v>
      </c>
      <c r="U33" s="207">
        <f t="shared" si="1"/>
        <v>59.921180123566444</v>
      </c>
      <c r="V33" s="208">
        <f aca="true" t="shared" si="26" ref="V33:V38">U33/1000/K33/2.32</f>
        <v>25.266614557350916</v>
      </c>
      <c r="W33" s="208">
        <f t="shared" si="20"/>
        <v>25.28688242973957</v>
      </c>
      <c r="X33" s="103">
        <f aca="true" t="shared" si="27" ref="X33:X38">Q33/0.2842/(E33-D33)</f>
        <v>411.72914061693643</v>
      </c>
      <c r="Y33" s="167">
        <f t="shared" si="21"/>
        <v>123.99509688989609</v>
      </c>
      <c r="Z33" s="103">
        <f t="shared" si="5"/>
        <v>23.823717718849377</v>
      </c>
      <c r="AA33" s="196">
        <f t="shared" si="12"/>
        <v>0.6592386258124417</v>
      </c>
      <c r="AB33" s="196">
        <f t="shared" si="13"/>
        <v>0.11198068806652</v>
      </c>
      <c r="AC33" s="196">
        <f t="shared" si="14"/>
        <v>1.1536104312579423</v>
      </c>
      <c r="AD33" s="196">
        <f t="shared" si="15"/>
        <v>0.5725806451612903</v>
      </c>
      <c r="AE33" s="196">
        <f t="shared" si="16"/>
        <v>0.8187849604035885</v>
      </c>
      <c r="AF33" s="196">
        <f t="shared" si="17"/>
        <v>1.3779089354354976</v>
      </c>
      <c r="AG33" s="104">
        <f aca="true" t="shared" si="28" ref="AG33:AG38">AD33/AF33*(B33-20)</f>
        <v>5.152735291433461</v>
      </c>
      <c r="AH33" s="36">
        <f t="shared" si="18"/>
        <v>0.02599188635523908</v>
      </c>
      <c r="AI33" s="212">
        <f aca="true" t="shared" si="29" ref="AI33:AI38">AH33*(((F33-G33)/1000)*1.14)</f>
        <v>0.00011555992673539296</v>
      </c>
      <c r="AJ33" s="11">
        <f t="shared" si="9"/>
        <v>0.12745210786358807</v>
      </c>
      <c r="AK33" s="213">
        <f aca="true" t="shared" si="30" ref="AK33:AK38">AJ33*(((F33-G33)/1000)*1.14)</f>
        <v>0.0005666520715615126</v>
      </c>
      <c r="AL33" s="236">
        <f t="shared" si="22"/>
        <v>2.429559658856122E-07</v>
      </c>
      <c r="AM33" s="215">
        <f t="shared" si="11"/>
        <v>5.6889130434782595</v>
      </c>
      <c r="AN33" s="1">
        <v>1.1</v>
      </c>
      <c r="AO33" s="3">
        <f t="shared" si="6"/>
        <v>0.7496265241077202</v>
      </c>
    </row>
    <row r="34" spans="1:41" ht="12.75">
      <c r="A34" t="s">
        <v>31</v>
      </c>
      <c r="B34" s="198">
        <v>31.7</v>
      </c>
      <c r="C34" s="198">
        <v>24.5</v>
      </c>
      <c r="D34" s="199">
        <v>21.13</v>
      </c>
      <c r="E34" s="199">
        <v>21.69</v>
      </c>
      <c r="F34" s="108">
        <v>16.4</v>
      </c>
      <c r="G34" s="108">
        <v>12.6</v>
      </c>
      <c r="H34" s="1">
        <v>35.6</v>
      </c>
      <c r="I34" s="11">
        <f t="shared" si="2"/>
        <v>0.011312888888888888</v>
      </c>
      <c r="J34" s="3">
        <v>3.93</v>
      </c>
      <c r="K34" s="11">
        <f t="shared" si="10"/>
        <v>0.0010916666666666668</v>
      </c>
      <c r="L34" s="3">
        <v>97.8</v>
      </c>
      <c r="M34" s="11">
        <f t="shared" si="0"/>
        <v>0.027040205833333334</v>
      </c>
      <c r="N34" s="205">
        <f t="shared" si="23"/>
        <v>189.98966963484438</v>
      </c>
      <c r="O34" s="170">
        <f>N47</f>
        <v>87.69583679999998</v>
      </c>
      <c r="P34" s="205">
        <f t="shared" si="7"/>
        <v>102.2938328348444</v>
      </c>
      <c r="Q34" s="205">
        <f t="shared" si="24"/>
        <v>63.32599884520027</v>
      </c>
      <c r="R34" s="203">
        <f t="shared" si="19"/>
        <v>14.007569815040155</v>
      </c>
      <c r="S34" s="203">
        <f t="shared" si="4"/>
        <v>102.2938328348444</v>
      </c>
      <c r="T34" s="205">
        <f t="shared" si="25"/>
        <v>14.007569815040155</v>
      </c>
      <c r="U34" s="207">
        <f t="shared" si="1"/>
        <v>126.6636707896441</v>
      </c>
      <c r="V34" s="208">
        <f t="shared" si="26"/>
        <v>50.01197846392897</v>
      </c>
      <c r="W34" s="208">
        <f t="shared" si="20"/>
        <v>27.004741290455573</v>
      </c>
      <c r="X34" s="103">
        <f t="shared" si="27"/>
        <v>397.8963434025335</v>
      </c>
      <c r="Y34" s="167">
        <f t="shared" si="21"/>
        <v>232.61278666500164</v>
      </c>
      <c r="Z34" s="103">
        <f t="shared" si="5"/>
        <v>25.288445243126446</v>
      </c>
      <c r="AA34" s="196">
        <f t="shared" si="12"/>
        <v>0.6811731315042573</v>
      </c>
      <c r="AB34" s="196">
        <f t="shared" si="13"/>
        <v>0.22541545951423836</v>
      </c>
      <c r="AC34" s="196">
        <f t="shared" si="14"/>
        <v>1.3387162976036888</v>
      </c>
      <c r="AD34" s="196">
        <f t="shared" si="15"/>
        <v>0.6153846153846153</v>
      </c>
      <c r="AE34" s="196">
        <f t="shared" si="16"/>
        <v>0.4356388472877214</v>
      </c>
      <c r="AF34" s="196">
        <f t="shared" si="17"/>
        <v>1.2400866266858728</v>
      </c>
      <c r="AG34" s="104">
        <f t="shared" si="28"/>
        <v>5.806046001191041</v>
      </c>
      <c r="AH34" s="36">
        <f t="shared" si="18"/>
        <v>0.02775763950437217</v>
      </c>
      <c r="AI34" s="212">
        <f t="shared" si="29"/>
        <v>0.00012024609433294021</v>
      </c>
      <c r="AJ34" s="11">
        <f t="shared" si="9"/>
        <v>0.2390980830701977</v>
      </c>
      <c r="AK34" s="213">
        <f t="shared" si="30"/>
        <v>0.0010357728958600963</v>
      </c>
      <c r="AL34" s="236">
        <f t="shared" si="22"/>
        <v>4.605167866751522E-07</v>
      </c>
      <c r="AM34" s="103">
        <f t="shared" si="11"/>
        <v>10.362951653944018</v>
      </c>
      <c r="AN34" s="1">
        <v>2.1</v>
      </c>
      <c r="AO34" s="3">
        <f t="shared" si="6"/>
        <v>0.8572934884704809</v>
      </c>
    </row>
    <row r="35" spans="1:41" ht="12.75">
      <c r="A35" t="s">
        <v>32</v>
      </c>
      <c r="B35" s="198">
        <v>32.1</v>
      </c>
      <c r="C35" s="198">
        <v>25.7</v>
      </c>
      <c r="D35" s="199">
        <v>21.65</v>
      </c>
      <c r="E35" s="199">
        <v>22.1</v>
      </c>
      <c r="F35" s="108">
        <v>11.6</v>
      </c>
      <c r="G35" s="108">
        <v>8.7</v>
      </c>
      <c r="H35" s="1">
        <v>37.2</v>
      </c>
      <c r="I35" s="11">
        <f t="shared" si="2"/>
        <v>0.011821333333333335</v>
      </c>
      <c r="J35" s="3">
        <v>3.29</v>
      </c>
      <c r="K35" s="11">
        <f t="shared" si="10"/>
        <v>0.0009138888888888889</v>
      </c>
      <c r="L35" s="3">
        <v>92.7</v>
      </c>
      <c r="M35" s="11">
        <f t="shared" si="0"/>
        <v>0.025630133750000002</v>
      </c>
      <c r="N35" s="205">
        <f t="shared" si="23"/>
        <v>162.22323054080007</v>
      </c>
      <c r="O35" s="170">
        <f>N47</f>
        <v>87.69583679999998</v>
      </c>
      <c r="P35" s="205">
        <f t="shared" si="7"/>
        <v>74.5273937408001</v>
      </c>
      <c r="Q35" s="205">
        <f t="shared" si="24"/>
        <v>48.23334870412532</v>
      </c>
      <c r="R35" s="203">
        <f t="shared" si="19"/>
        <v>13.280014122584195</v>
      </c>
      <c r="S35" s="203">
        <f t="shared" si="4"/>
        <v>74.5273937408001</v>
      </c>
      <c r="T35" s="205">
        <f t="shared" si="25"/>
        <v>13.280014122584195</v>
      </c>
      <c r="U35" s="207">
        <f t="shared" si="1"/>
        <v>113.98988183667475</v>
      </c>
      <c r="V35" s="208">
        <f t="shared" si="26"/>
        <v>53.76317663400445</v>
      </c>
      <c r="W35" s="208">
        <f t="shared" si="20"/>
        <v>22.607022607022603</v>
      </c>
      <c r="X35" s="103">
        <f t="shared" si="27"/>
        <v>377.147147580929</v>
      </c>
      <c r="Y35" s="167">
        <f t="shared" si="21"/>
        <v>184.84828431242417</v>
      </c>
      <c r="Z35" s="103">
        <f t="shared" si="5"/>
        <v>21.328543208260765</v>
      </c>
      <c r="AA35" s="196">
        <f t="shared" si="12"/>
        <v>0.6124401913875599</v>
      </c>
      <c r="AB35" s="196">
        <f t="shared" si="13"/>
        <v>0.24850535986155703</v>
      </c>
      <c r="AC35" s="196">
        <f t="shared" si="14"/>
        <v>1.087327864321795</v>
      </c>
      <c r="AD35" s="196">
        <f t="shared" si="15"/>
        <v>0.5289256198347109</v>
      </c>
      <c r="AE35" s="196">
        <f t="shared" si="16"/>
        <v>0.5667623560522332</v>
      </c>
      <c r="AF35" s="196">
        <f t="shared" si="17"/>
        <v>0.9733456851120528</v>
      </c>
      <c r="AG35" s="104">
        <f t="shared" si="28"/>
        <v>6.575259024509084</v>
      </c>
      <c r="AH35" s="36">
        <f t="shared" si="18"/>
        <v>0.023237311442591457</v>
      </c>
      <c r="AI35" s="212">
        <f t="shared" si="29"/>
        <v>7.682255162920735E-05</v>
      </c>
      <c r="AJ35" s="11">
        <f t="shared" si="9"/>
        <v>0.1900018957322662</v>
      </c>
      <c r="AK35" s="213">
        <f t="shared" si="30"/>
        <v>0.000628146267290872</v>
      </c>
      <c r="AL35" s="236">
        <f t="shared" si="22"/>
        <v>3.672423931587481E-07</v>
      </c>
      <c r="AM35" s="215">
        <f t="shared" si="11"/>
        <v>12.935197568389059</v>
      </c>
      <c r="AN35" s="1">
        <v>2.2</v>
      </c>
      <c r="AO35" s="3">
        <f t="shared" si="6"/>
        <v>1.1766926548511627</v>
      </c>
    </row>
    <row r="36" spans="1:41" ht="12.75">
      <c r="A36" t="s">
        <v>33</v>
      </c>
      <c r="B36" s="198">
        <v>31.9</v>
      </c>
      <c r="C36" s="198">
        <v>25.9</v>
      </c>
      <c r="D36" s="199">
        <v>21.63</v>
      </c>
      <c r="E36" s="199">
        <v>22.11</v>
      </c>
      <c r="F36" s="108">
        <v>10.7</v>
      </c>
      <c r="G36" s="108">
        <v>8.5</v>
      </c>
      <c r="H36" s="1">
        <v>50.7</v>
      </c>
      <c r="I36" s="11">
        <f t="shared" si="2"/>
        <v>0.01611133333333333</v>
      </c>
      <c r="J36" s="3">
        <v>3.49</v>
      </c>
      <c r="K36" s="11">
        <f t="shared" si="10"/>
        <v>0.0009694444444444445</v>
      </c>
      <c r="L36" s="3">
        <v>92.1</v>
      </c>
      <c r="M36" s="11">
        <f t="shared" si="0"/>
        <v>0.025464242916666664</v>
      </c>
      <c r="N36" s="205">
        <f t="shared" si="23"/>
        <v>186.25590678933327</v>
      </c>
      <c r="O36" s="170">
        <f>N48</f>
        <v>110.30711755555554</v>
      </c>
      <c r="P36" s="205">
        <f t="shared" si="7"/>
        <v>75.94878923377773</v>
      </c>
      <c r="Q36" s="205">
        <f t="shared" si="24"/>
        <v>51.115902661200046</v>
      </c>
      <c r="R36" s="203">
        <f t="shared" si="19"/>
        <v>14.584297066091102</v>
      </c>
      <c r="S36" s="203">
        <f t="shared" si="4"/>
        <v>75.94878923377773</v>
      </c>
      <c r="T36" s="205">
        <f t="shared" si="25"/>
        <v>14.584297066091102</v>
      </c>
      <c r="U36" s="207">
        <f t="shared" si="1"/>
        <v>135.14000412813323</v>
      </c>
      <c r="V36" s="208">
        <f t="shared" si="26"/>
        <v>60.08596172083781</v>
      </c>
      <c r="W36" s="208">
        <f t="shared" si="20"/>
        <v>23.981309695595414</v>
      </c>
      <c r="X36" s="103">
        <f t="shared" si="27"/>
        <v>374.7060657195637</v>
      </c>
      <c r="Y36" s="167">
        <f t="shared" si="21"/>
        <v>211.67794585521506</v>
      </c>
      <c r="Z36" s="103">
        <f t="shared" si="5"/>
        <v>22.538818033758382</v>
      </c>
      <c r="AA36" s="196">
        <f t="shared" si="12"/>
        <v>0.5842259006815969</v>
      </c>
      <c r="AB36" s="196">
        <f t="shared" si="13"/>
        <v>0.3408951979964896</v>
      </c>
      <c r="AC36" s="196">
        <f t="shared" si="14"/>
        <v>1.0465048567585657</v>
      </c>
      <c r="AD36" s="196">
        <f t="shared" si="15"/>
        <v>0.504201680672269</v>
      </c>
      <c r="AE36" s="196">
        <f t="shared" si="16"/>
        <v>0.5525555841665198</v>
      </c>
      <c r="AF36" s="196">
        <f t="shared" si="17"/>
        <v>0.881416037747968</v>
      </c>
      <c r="AG36" s="104">
        <f t="shared" si="28"/>
        <v>6.807228077367523</v>
      </c>
      <c r="AH36" s="36">
        <f t="shared" si="18"/>
        <v>0.024649913961897935</v>
      </c>
      <c r="AI36" s="212">
        <f t="shared" si="29"/>
        <v>6.182198421644E-05</v>
      </c>
      <c r="AJ36" s="11">
        <f t="shared" si="9"/>
        <v>0.21757957422653565</v>
      </c>
      <c r="AK36" s="213">
        <f t="shared" si="30"/>
        <v>0.0005456895721601512</v>
      </c>
      <c r="AL36" s="236">
        <f t="shared" si="22"/>
        <v>3.797016734605741E-07</v>
      </c>
      <c r="AM36" s="215">
        <f t="shared" si="11"/>
        <v>16.61914040114613</v>
      </c>
      <c r="AN36" s="1">
        <v>2.9</v>
      </c>
      <c r="AO36" s="3">
        <f t="shared" si="6"/>
        <v>1.4523880981962667</v>
      </c>
    </row>
    <row r="37" spans="1:41" ht="12.75">
      <c r="A37" t="s">
        <v>34</v>
      </c>
      <c r="B37" s="198">
        <v>31.9</v>
      </c>
      <c r="C37" s="198">
        <v>26.5</v>
      </c>
      <c r="D37" s="199">
        <v>21.75</v>
      </c>
      <c r="E37" s="199">
        <v>22.28</v>
      </c>
      <c r="F37" s="108">
        <v>12.9</v>
      </c>
      <c r="G37" s="108">
        <v>11</v>
      </c>
      <c r="H37" s="1">
        <v>68.4</v>
      </c>
      <c r="I37" s="11">
        <f t="shared" si="2"/>
        <v>0.021736000000000002</v>
      </c>
      <c r="J37" s="3">
        <v>3.87</v>
      </c>
      <c r="K37" s="11">
        <f t="shared" si="10"/>
        <v>0.001075</v>
      </c>
      <c r="L37" s="3">
        <v>93</v>
      </c>
      <c r="M37" s="11">
        <f t="shared" si="0"/>
        <v>0.025713079166666666</v>
      </c>
      <c r="N37" s="205">
        <f t="shared" si="23"/>
        <v>221.7394475296</v>
      </c>
      <c r="O37" s="170">
        <f>N49</f>
        <v>137.15741404444447</v>
      </c>
      <c r="P37" s="205">
        <f t="shared" si="7"/>
        <v>84.58203348515553</v>
      </c>
      <c r="Q37" s="205">
        <f t="shared" si="24"/>
        <v>56.99201144975013</v>
      </c>
      <c r="R37" s="203">
        <f t="shared" si="19"/>
        <v>17.882728117639864</v>
      </c>
      <c r="S37" s="203">
        <f t="shared" si="4"/>
        <v>84.58203348515553</v>
      </c>
      <c r="T37" s="205">
        <f t="shared" si="25"/>
        <v>17.882728117639864</v>
      </c>
      <c r="U37" s="207">
        <f t="shared" si="1"/>
        <v>164.74743607984988</v>
      </c>
      <c r="V37" s="208">
        <f t="shared" si="26"/>
        <v>66.05751246184839</v>
      </c>
      <c r="W37" s="208">
        <f t="shared" si="20"/>
        <v>26.59245516388373</v>
      </c>
      <c r="X37" s="103">
        <f t="shared" si="27"/>
        <v>378.36768851161156</v>
      </c>
      <c r="Y37" s="167">
        <f t="shared" si="21"/>
        <v>233.37139122599564</v>
      </c>
      <c r="Z37" s="103">
        <f t="shared" si="5"/>
        <v>24.84621252078098</v>
      </c>
      <c r="AA37" s="196">
        <f t="shared" si="12"/>
        <v>0.5320197044334974</v>
      </c>
      <c r="AB37" s="196">
        <f t="shared" si="13"/>
        <v>0.4554552448742564</v>
      </c>
      <c r="AC37" s="196">
        <f t="shared" si="14"/>
        <v>0.9297883797273787</v>
      </c>
      <c r="AD37" s="196">
        <f t="shared" si="15"/>
        <v>0.45378151260504196</v>
      </c>
      <c r="AE37" s="196">
        <f t="shared" si="16"/>
        <v>0.5010049575952163</v>
      </c>
      <c r="AF37" s="196">
        <f t="shared" si="17"/>
        <v>0.7173989290451257</v>
      </c>
      <c r="AG37" s="104">
        <f t="shared" si="28"/>
        <v>7.527192725513991</v>
      </c>
      <c r="AH37" s="36">
        <f t="shared" si="18"/>
        <v>0.027333858748580225</v>
      </c>
      <c r="AI37" s="212">
        <f t="shared" si="29"/>
        <v>5.9205138049424776E-05</v>
      </c>
      <c r="AJ37" s="11">
        <f t="shared" si="9"/>
        <v>0.23987783769565255</v>
      </c>
      <c r="AK37" s="213">
        <f t="shared" si="30"/>
        <v>0.0005195753964487835</v>
      </c>
      <c r="AL37" s="236">
        <f t="shared" si="22"/>
        <v>4.4240657596320825E-07</v>
      </c>
      <c r="AM37" s="215">
        <f t="shared" si="11"/>
        <v>20.219534883720932</v>
      </c>
      <c r="AN37" s="1">
        <v>4</v>
      </c>
      <c r="AO37" s="3">
        <f t="shared" si="6"/>
        <v>1.6215904062949267</v>
      </c>
    </row>
    <row r="38" spans="1:41" ht="12.75">
      <c r="A38" t="s">
        <v>35</v>
      </c>
      <c r="B38" s="198">
        <v>31.9</v>
      </c>
      <c r="C38" s="198">
        <v>26.8</v>
      </c>
      <c r="D38" s="199">
        <v>21.85</v>
      </c>
      <c r="E38" s="199">
        <v>22.43</v>
      </c>
      <c r="F38" s="108">
        <v>12</v>
      </c>
      <c r="G38" s="108">
        <v>9.9</v>
      </c>
      <c r="H38" s="1">
        <v>83.8</v>
      </c>
      <c r="I38" s="11">
        <f t="shared" si="2"/>
        <v>0.026629777777777773</v>
      </c>
      <c r="J38" s="3">
        <v>3.52</v>
      </c>
      <c r="K38" s="11">
        <f t="shared" si="10"/>
        <v>0.0009777777777777777</v>
      </c>
      <c r="L38" s="3">
        <v>93.8</v>
      </c>
      <c r="M38" s="11">
        <f t="shared" si="0"/>
        <v>0.025934266944444444</v>
      </c>
      <c r="N38" s="205">
        <f t="shared" si="23"/>
        <v>276.96355235119984</v>
      </c>
      <c r="O38" s="170">
        <f>N50</f>
        <v>163.99812</v>
      </c>
      <c r="P38" s="205">
        <f t="shared" si="7"/>
        <v>112.96543235119984</v>
      </c>
      <c r="Q38" s="205">
        <f t="shared" si="24"/>
        <v>62.90512052976648</v>
      </c>
      <c r="R38" s="203">
        <f t="shared" si="19"/>
        <v>17.546442504887384</v>
      </c>
      <c r="S38" s="203">
        <f t="shared" si="4"/>
        <v>112.96543235119984</v>
      </c>
      <c r="T38" s="205">
        <f t="shared" si="25"/>
        <v>17.546442504887384</v>
      </c>
      <c r="U38" s="207">
        <f t="shared" si="1"/>
        <v>214.05843182143337</v>
      </c>
      <c r="V38" s="208">
        <f t="shared" si="26"/>
        <v>94.36353283664288</v>
      </c>
      <c r="W38" s="208">
        <f t="shared" si="20"/>
        <v>24.18745275888132</v>
      </c>
      <c r="X38" s="103">
        <f t="shared" si="27"/>
        <v>381.62246432676517</v>
      </c>
      <c r="Y38" s="167">
        <f t="shared" si="21"/>
        <v>281.0850093822823</v>
      </c>
      <c r="Z38" s="103">
        <f t="shared" si="5"/>
        <v>22.745810141656555</v>
      </c>
      <c r="AA38" s="196">
        <f t="shared" si="12"/>
        <v>0.5074626865671641</v>
      </c>
      <c r="AB38" s="196">
        <f t="shared" si="13"/>
        <v>0.5532402064556649</v>
      </c>
      <c r="AC38" s="196">
        <f t="shared" si="14"/>
        <v>0.8924030225559061</v>
      </c>
      <c r="AD38" s="196">
        <f t="shared" si="15"/>
        <v>0.42857142857142844</v>
      </c>
      <c r="AE38" s="196">
        <f t="shared" si="16"/>
        <v>0.3783506343210253</v>
      </c>
      <c r="AF38" s="196">
        <f t="shared" si="17"/>
        <v>0.6280779326215937</v>
      </c>
      <c r="AG38" s="104">
        <f t="shared" si="28"/>
        <v>8.120011443026865</v>
      </c>
      <c r="AH38" s="36">
        <f t="shared" si="18"/>
        <v>0.024861804339793892</v>
      </c>
      <c r="AI38" s="212">
        <f t="shared" si="29"/>
        <v>5.951915958946655E-05</v>
      </c>
      <c r="AJ38" s="11">
        <f t="shared" si="9"/>
        <v>0.2889217221745447</v>
      </c>
      <c r="AK38" s="213">
        <f t="shared" si="30"/>
        <v>0.0006916786028858598</v>
      </c>
      <c r="AL38" s="236">
        <f t="shared" si="22"/>
        <v>5.990667069714168E-07</v>
      </c>
      <c r="AM38" s="215">
        <f t="shared" si="11"/>
        <v>27.234999999999996</v>
      </c>
      <c r="AN38" s="1">
        <v>4.9</v>
      </c>
      <c r="AO38" s="3">
        <f t="shared" si="6"/>
        <v>1.4517549004738362</v>
      </c>
    </row>
    <row r="40" spans="1:40" ht="12.75">
      <c r="A40" t="s">
        <v>40</v>
      </c>
      <c r="B40" s="198">
        <v>32</v>
      </c>
      <c r="C40" s="198">
        <v>23</v>
      </c>
      <c r="D40" s="146">
        <v>21.2</v>
      </c>
      <c r="E40" s="146">
        <v>21.44</v>
      </c>
      <c r="F40" s="108">
        <v>7.6</v>
      </c>
      <c r="G40" s="108">
        <v>7.2</v>
      </c>
      <c r="H40" s="1">
        <v>17.3</v>
      </c>
      <c r="I40" s="11">
        <f t="shared" si="2"/>
        <v>0.005497555555555556</v>
      </c>
      <c r="J40" s="3"/>
      <c r="K40" s="11"/>
      <c r="L40" s="1">
        <v>101.3</v>
      </c>
      <c r="M40" s="11">
        <f>L40/1000/3600*995.345</f>
        <v>0.028007902361111114</v>
      </c>
      <c r="N40" s="170">
        <f>(I40*((1.006*(B40-C40)))*1000)</f>
        <v>49.774868000000005</v>
      </c>
      <c r="O40" s="205">
        <f>I15*(((1.004*(B15-C15)*1000)))</f>
        <v>48.57200284444445</v>
      </c>
      <c r="P40" s="205"/>
      <c r="Q40" s="205">
        <f>M40*4.182*1000*(E40-D40)</f>
        <v>28.110971441800242</v>
      </c>
      <c r="R40" s="205"/>
      <c r="S40" s="205"/>
      <c r="T40" s="205"/>
      <c r="U40" s="203"/>
      <c r="V40" s="103"/>
      <c r="W40" s="103"/>
      <c r="X40" s="103"/>
      <c r="Y40" s="103"/>
      <c r="Z40" s="103"/>
      <c r="AA40" s="1"/>
      <c r="AB40" s="1"/>
      <c r="AC40" s="1"/>
      <c r="AH40" s="189"/>
      <c r="AI40" s="189"/>
      <c r="AJ40" s="189"/>
      <c r="AK40" s="189"/>
      <c r="AL40" s="189"/>
      <c r="AN40" s="1"/>
    </row>
    <row r="41" spans="1:41" ht="12.75" customHeight="1">
      <c r="A41" t="s">
        <v>36</v>
      </c>
      <c r="B41" s="198">
        <v>32</v>
      </c>
      <c r="C41" s="198">
        <v>24.3</v>
      </c>
      <c r="D41" s="146">
        <v>21.25</v>
      </c>
      <c r="E41" s="146">
        <v>21.53</v>
      </c>
      <c r="F41" s="108">
        <v>7.5</v>
      </c>
      <c r="G41" s="108">
        <v>7.3</v>
      </c>
      <c r="H41" s="1">
        <v>36.1</v>
      </c>
      <c r="I41" s="11">
        <f t="shared" si="2"/>
        <v>0.011471777777777779</v>
      </c>
      <c r="J41" s="3"/>
      <c r="K41" s="11"/>
      <c r="L41" s="1">
        <v>101.3</v>
      </c>
      <c r="M41" s="11">
        <f t="shared" si="0"/>
        <v>0.028007902361111114</v>
      </c>
      <c r="N41" s="170">
        <f aca="true" t="shared" si="31" ref="N41:N50">I41*((1.006*(B41-C41)))*1000</f>
        <v>88.86268502222222</v>
      </c>
      <c r="O41" s="205"/>
      <c r="P41" s="205"/>
      <c r="Q41" s="205">
        <f>M41*4.182*1000*(E41-D41)</f>
        <v>32.79613334876681</v>
      </c>
      <c r="R41" s="243" t="s">
        <v>173</v>
      </c>
      <c r="S41" s="243" t="s">
        <v>84</v>
      </c>
      <c r="T41" s="243" t="s">
        <v>174</v>
      </c>
      <c r="U41" s="242" t="s">
        <v>175</v>
      </c>
      <c r="V41" s="242" t="s">
        <v>176</v>
      </c>
      <c r="W41" s="242" t="s">
        <v>177</v>
      </c>
      <c r="X41" s="242" t="s">
        <v>178</v>
      </c>
      <c r="Y41" s="239" t="s">
        <v>233</v>
      </c>
      <c r="Z41" s="241" t="s">
        <v>179</v>
      </c>
      <c r="AA41" s="241" t="s">
        <v>170</v>
      </c>
      <c r="AB41" s="241" t="s">
        <v>171</v>
      </c>
      <c r="AC41" s="241" t="s">
        <v>180</v>
      </c>
      <c r="AD41" s="241" t="s">
        <v>181</v>
      </c>
      <c r="AE41" s="241" t="s">
        <v>182</v>
      </c>
      <c r="AF41" s="241" t="s">
        <v>183</v>
      </c>
      <c r="AG41" s="241" t="s">
        <v>184</v>
      </c>
      <c r="AH41" s="241" t="s">
        <v>185</v>
      </c>
      <c r="AI41" s="241" t="s">
        <v>186</v>
      </c>
      <c r="AJ41" s="241" t="s">
        <v>187</v>
      </c>
      <c r="AK41" s="241" t="s">
        <v>188</v>
      </c>
      <c r="AL41" s="241" t="s">
        <v>189</v>
      </c>
      <c r="AM41" s="241" t="s">
        <v>190</v>
      </c>
      <c r="AN41" s="223"/>
      <c r="AO41" s="241" t="s">
        <v>191</v>
      </c>
    </row>
    <row r="42" spans="1:41" ht="12.75" customHeight="1">
      <c r="A42" t="s">
        <v>37</v>
      </c>
      <c r="B42" s="198">
        <v>32</v>
      </c>
      <c r="C42" s="198">
        <v>24.9</v>
      </c>
      <c r="D42" s="146">
        <v>21.28</v>
      </c>
      <c r="E42" s="146">
        <v>21.6</v>
      </c>
      <c r="F42" s="108">
        <v>7.5</v>
      </c>
      <c r="G42" s="108">
        <v>7.2</v>
      </c>
      <c r="H42" s="1">
        <v>49.4</v>
      </c>
      <c r="I42" s="11">
        <f t="shared" si="2"/>
        <v>0.01569822222222222</v>
      </c>
      <c r="J42" s="3"/>
      <c r="K42" s="11"/>
      <c r="L42" s="1">
        <v>103.6</v>
      </c>
      <c r="M42" s="11">
        <f t="shared" si="0"/>
        <v>0.028643817222222222</v>
      </c>
      <c r="N42" s="170">
        <f t="shared" si="31"/>
        <v>112.12612204444446</v>
      </c>
      <c r="O42" s="205"/>
      <c r="P42" s="206"/>
      <c r="Q42" s="205">
        <f>M42*4.182*1000*(E42-D42)</f>
        <v>38.332301959466704</v>
      </c>
      <c r="R42" s="241"/>
      <c r="S42" s="241"/>
      <c r="T42" s="241"/>
      <c r="U42" s="241"/>
      <c r="V42" s="241"/>
      <c r="W42" s="241"/>
      <c r="X42" s="241"/>
      <c r="Y42" s="240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23"/>
      <c r="AO42" s="241"/>
    </row>
    <row r="43" spans="1:41" ht="12.75">
      <c r="A43" t="s">
        <v>38</v>
      </c>
      <c r="B43" s="198">
        <v>32.1</v>
      </c>
      <c r="C43" s="198">
        <v>25.8</v>
      </c>
      <c r="D43" s="146">
        <v>21.45</v>
      </c>
      <c r="E43" s="146">
        <v>21.8</v>
      </c>
      <c r="F43" s="108">
        <v>7.5</v>
      </c>
      <c r="G43" s="108">
        <v>7.3</v>
      </c>
      <c r="H43" s="1">
        <v>66</v>
      </c>
      <c r="I43" s="11">
        <f t="shared" si="2"/>
        <v>0.02097333333333333</v>
      </c>
      <c r="J43" s="3"/>
      <c r="K43" s="11"/>
      <c r="L43" s="1">
        <v>103.8</v>
      </c>
      <c r="M43" s="11">
        <f t="shared" si="0"/>
        <v>0.028699114166666668</v>
      </c>
      <c r="N43" s="170">
        <f t="shared" si="31"/>
        <v>132.924792</v>
      </c>
      <c r="O43" s="205"/>
      <c r="P43" s="206"/>
      <c r="Q43" s="205">
        <f>M43*4.182*1000*(E43-D43)</f>
        <v>42.006893405750176</v>
      </c>
      <c r="R43" s="241"/>
      <c r="S43" s="241"/>
      <c r="T43" s="241"/>
      <c r="U43" s="241"/>
      <c r="V43" s="241"/>
      <c r="W43" s="241"/>
      <c r="X43" s="241"/>
      <c r="Y43" s="240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23"/>
      <c r="AO43" s="241"/>
    </row>
    <row r="44" spans="1:41" ht="12.75">
      <c r="A44" t="s">
        <v>39</v>
      </c>
      <c r="B44" s="198">
        <v>32.1</v>
      </c>
      <c r="C44" s="198">
        <v>26.3</v>
      </c>
      <c r="D44" s="146">
        <v>21.48</v>
      </c>
      <c r="E44" s="146">
        <v>21.87</v>
      </c>
      <c r="F44" s="108">
        <v>7.5</v>
      </c>
      <c r="G44" s="108">
        <v>7.3</v>
      </c>
      <c r="H44" s="1">
        <v>82.2</v>
      </c>
      <c r="I44" s="11">
        <f t="shared" si="2"/>
        <v>0.026121333333333333</v>
      </c>
      <c r="J44" s="3"/>
      <c r="K44" s="5"/>
      <c r="L44" s="1">
        <v>103.4</v>
      </c>
      <c r="M44" s="11">
        <f t="shared" si="0"/>
        <v>0.028588520277777783</v>
      </c>
      <c r="N44" s="170">
        <f t="shared" si="31"/>
        <v>152.41275573333334</v>
      </c>
      <c r="O44" s="205"/>
      <c r="P44" s="205"/>
      <c r="Q44" s="205">
        <f>M44*4.182*1000*(E44-D44)</f>
        <v>46.62730480265008</v>
      </c>
      <c r="R44" s="241"/>
      <c r="S44" s="241"/>
      <c r="T44" s="241"/>
      <c r="U44" s="241"/>
      <c r="V44" s="241"/>
      <c r="W44" s="241"/>
      <c r="X44" s="241"/>
      <c r="Y44" s="240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23"/>
      <c r="AO44" s="241"/>
    </row>
    <row r="45" spans="2:41" ht="12.75">
      <c r="B45" s="198"/>
      <c r="C45" s="198"/>
      <c r="D45" s="146"/>
      <c r="E45" s="146"/>
      <c r="F45" s="108"/>
      <c r="G45" s="108"/>
      <c r="H45" s="1"/>
      <c r="I45" s="11"/>
      <c r="J45" s="3"/>
      <c r="K45" s="5"/>
      <c r="L45" s="1"/>
      <c r="M45" s="11"/>
      <c r="N45" s="205"/>
      <c r="O45" s="205"/>
      <c r="P45" s="205"/>
      <c r="Q45" s="205"/>
      <c r="R45" s="241"/>
      <c r="S45" s="241"/>
      <c r="T45" s="241"/>
      <c r="U45" s="241"/>
      <c r="V45" s="241"/>
      <c r="W45" s="241"/>
      <c r="X45" s="241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23"/>
      <c r="AO45" s="241"/>
    </row>
    <row r="46" spans="1:41" ht="12.75">
      <c r="A46" t="s">
        <v>46</v>
      </c>
      <c r="B46" s="198">
        <v>31</v>
      </c>
      <c r="C46" s="198">
        <v>23.9</v>
      </c>
      <c r="D46" s="146">
        <v>21.3</v>
      </c>
      <c r="E46" s="146">
        <v>21.45</v>
      </c>
      <c r="F46" s="108">
        <v>9.6</v>
      </c>
      <c r="G46" s="108">
        <v>9.4</v>
      </c>
      <c r="H46" s="1">
        <v>18.6</v>
      </c>
      <c r="I46" s="11">
        <f t="shared" si="2"/>
        <v>0.005910666666666667</v>
      </c>
      <c r="J46" s="3"/>
      <c r="K46" s="5"/>
      <c r="L46" s="1">
        <v>95.9</v>
      </c>
      <c r="M46" s="11">
        <f t="shared" si="0"/>
        <v>0.026514884861111112</v>
      </c>
      <c r="N46" s="170">
        <f t="shared" si="31"/>
        <v>42.21752773333335</v>
      </c>
      <c r="O46" s="205"/>
      <c r="P46" s="205"/>
      <c r="Q46" s="205">
        <f>M46*4.182*1000*(E46-D46)</f>
        <v>16.632787273374845</v>
      </c>
      <c r="R46" s="241"/>
      <c r="S46" s="241"/>
      <c r="T46" s="241"/>
      <c r="U46" s="241"/>
      <c r="V46" s="241"/>
      <c r="W46" s="241"/>
      <c r="X46" s="241"/>
      <c r="Y46" s="240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23"/>
      <c r="AO46" s="241"/>
    </row>
    <row r="47" spans="1:41" ht="12.75">
      <c r="A47" t="s">
        <v>42</v>
      </c>
      <c r="B47" s="198">
        <v>31.9</v>
      </c>
      <c r="C47" s="198">
        <v>24.7</v>
      </c>
      <c r="D47" s="146">
        <v>21.35</v>
      </c>
      <c r="E47" s="146">
        <v>21.59</v>
      </c>
      <c r="F47" s="108">
        <v>9.6</v>
      </c>
      <c r="G47" s="108">
        <v>9.4</v>
      </c>
      <c r="H47" s="1">
        <v>38.1</v>
      </c>
      <c r="I47" s="11">
        <f t="shared" si="2"/>
        <v>0.012107333333333333</v>
      </c>
      <c r="J47" s="3"/>
      <c r="K47" s="5"/>
      <c r="L47" s="1">
        <v>94.5</v>
      </c>
      <c r="M47" s="11">
        <f t="shared" si="0"/>
        <v>0.026127806250000003</v>
      </c>
      <c r="N47" s="170">
        <f t="shared" si="31"/>
        <v>87.69583679999998</v>
      </c>
      <c r="O47" s="205"/>
      <c r="P47" s="205"/>
      <c r="Q47" s="205">
        <f>M47*4.182*1000*(E47-D47)</f>
        <v>26.223956576999836</v>
      </c>
      <c r="R47" s="241"/>
      <c r="S47" s="241"/>
      <c r="T47" s="241"/>
      <c r="U47" s="241"/>
      <c r="V47" s="241"/>
      <c r="W47" s="241"/>
      <c r="X47" s="241"/>
      <c r="Y47" s="240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23"/>
      <c r="AO47" s="241"/>
    </row>
    <row r="48" spans="1:41" ht="12.75">
      <c r="A48" t="s">
        <v>43</v>
      </c>
      <c r="B48" s="198">
        <v>31.9</v>
      </c>
      <c r="C48" s="198">
        <v>25.2</v>
      </c>
      <c r="D48" s="146">
        <v>21.4</v>
      </c>
      <c r="E48" s="146">
        <v>21.66</v>
      </c>
      <c r="F48" s="108">
        <v>9.4</v>
      </c>
      <c r="G48" s="108">
        <v>9.3</v>
      </c>
      <c r="H48" s="1">
        <v>51.5</v>
      </c>
      <c r="I48" s="11">
        <f t="shared" si="2"/>
        <v>0.016365555555555553</v>
      </c>
      <c r="J48" s="3"/>
      <c r="K48" s="5"/>
      <c r="L48" s="1">
        <v>94.8</v>
      </c>
      <c r="M48" s="11">
        <f t="shared" si="0"/>
        <v>0.026210751666666664</v>
      </c>
      <c r="N48" s="170">
        <f t="shared" si="31"/>
        <v>110.30711755555554</v>
      </c>
      <c r="O48" s="205"/>
      <c r="P48" s="205"/>
      <c r="Q48" s="205">
        <f>M48*4.182*1000*(E48-D48)</f>
        <v>28.49947450220017</v>
      </c>
      <c r="R48" s="241"/>
      <c r="S48" s="241"/>
      <c r="T48" s="241"/>
      <c r="U48" s="241"/>
      <c r="V48" s="241"/>
      <c r="W48" s="241"/>
      <c r="X48" s="241"/>
      <c r="Y48" s="240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23"/>
      <c r="AO48" s="241"/>
    </row>
    <row r="49" spans="1:41" ht="12.75">
      <c r="A49" t="s">
        <v>44</v>
      </c>
      <c r="B49" s="198">
        <v>31.9</v>
      </c>
      <c r="C49" s="198">
        <v>25.7</v>
      </c>
      <c r="D49" s="146">
        <v>21.45</v>
      </c>
      <c r="E49" s="146">
        <v>21.73</v>
      </c>
      <c r="F49" s="108">
        <v>9.4</v>
      </c>
      <c r="G49" s="108">
        <v>9.2</v>
      </c>
      <c r="H49" s="1">
        <v>69.2</v>
      </c>
      <c r="I49" s="11">
        <f t="shared" si="2"/>
        <v>0.021990222222222224</v>
      </c>
      <c r="J49" s="3"/>
      <c r="K49" s="5"/>
      <c r="L49" s="1">
        <v>95.4</v>
      </c>
      <c r="M49" s="11">
        <f t="shared" si="0"/>
        <v>0.026376642500000005</v>
      </c>
      <c r="N49" s="170">
        <f t="shared" si="31"/>
        <v>137.15741404444447</v>
      </c>
      <c r="O49" s="205"/>
      <c r="P49" s="205"/>
      <c r="Q49" s="205">
        <f>M49*4.182*1000*(E49-D49)</f>
        <v>30.885993301800134</v>
      </c>
      <c r="R49" s="241"/>
      <c r="S49" s="241"/>
      <c r="T49" s="241"/>
      <c r="U49" s="241"/>
      <c r="V49" s="241"/>
      <c r="W49" s="241"/>
      <c r="X49" s="241"/>
      <c r="Y49" s="240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23"/>
      <c r="AO49" s="241"/>
    </row>
    <row r="50" spans="1:41" ht="12.75">
      <c r="A50" t="s">
        <v>45</v>
      </c>
      <c r="B50" s="198">
        <v>31.9</v>
      </c>
      <c r="C50" s="198">
        <v>25.9</v>
      </c>
      <c r="D50" s="146">
        <v>21.45</v>
      </c>
      <c r="E50" s="146">
        <v>21.78</v>
      </c>
      <c r="F50" s="108">
        <v>9.3</v>
      </c>
      <c r="G50" s="108">
        <v>9.2</v>
      </c>
      <c r="H50" s="1">
        <v>85.5</v>
      </c>
      <c r="I50" s="11">
        <f t="shared" si="2"/>
        <v>0.02717</v>
      </c>
      <c r="J50" s="3"/>
      <c r="K50" s="5"/>
      <c r="L50" s="1">
        <v>96.2</v>
      </c>
      <c r="M50" s="11">
        <f t="shared" si="0"/>
        <v>0.02659783027777778</v>
      </c>
      <c r="N50" s="170">
        <f t="shared" si="31"/>
        <v>163.99812</v>
      </c>
      <c r="O50" s="205"/>
      <c r="P50" s="205"/>
      <c r="Q50" s="205">
        <f>M50*4.182*1000*(E50-D50)</f>
        <v>36.706601653150216</v>
      </c>
      <c r="R50" s="241"/>
      <c r="S50" s="241"/>
      <c r="T50" s="241"/>
      <c r="U50" s="241"/>
      <c r="V50" s="241"/>
      <c r="W50" s="241"/>
      <c r="X50" s="241"/>
      <c r="Y50" s="240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23"/>
      <c r="AO50" s="241"/>
    </row>
    <row r="51" spans="2:41" ht="12.75">
      <c r="B51" s="198"/>
      <c r="C51" s="198"/>
      <c r="D51" s="146"/>
      <c r="E51" s="146"/>
      <c r="F51" s="108"/>
      <c r="G51" s="108"/>
      <c r="H51" s="1"/>
      <c r="I51" s="11"/>
      <c r="J51" s="3"/>
      <c r="K51" s="5"/>
      <c r="L51" s="1"/>
      <c r="M51" s="11"/>
      <c r="N51" s="205"/>
      <c r="O51" s="205"/>
      <c r="P51" s="205"/>
      <c r="Q51" s="205"/>
      <c r="R51" s="241"/>
      <c r="S51" s="241"/>
      <c r="T51" s="241"/>
      <c r="U51" s="241"/>
      <c r="V51" s="241"/>
      <c r="W51" s="241"/>
      <c r="X51" s="241"/>
      <c r="Y51" s="240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23"/>
      <c r="AO51" s="241"/>
    </row>
    <row r="52" spans="1:41" ht="12.75">
      <c r="A52" t="s">
        <v>51</v>
      </c>
      <c r="B52" s="198">
        <v>32.4</v>
      </c>
      <c r="C52" s="198">
        <v>23.9</v>
      </c>
      <c r="D52" s="146">
        <v>21.3</v>
      </c>
      <c r="E52" s="146">
        <v>21.52</v>
      </c>
      <c r="F52" s="108">
        <v>9.2</v>
      </c>
      <c r="G52" s="108">
        <v>8.9</v>
      </c>
      <c r="H52" s="1">
        <v>18.6</v>
      </c>
      <c r="I52" s="11">
        <f t="shared" si="2"/>
        <v>0.005910666666666667</v>
      </c>
      <c r="J52" s="3"/>
      <c r="K52" s="5"/>
      <c r="L52" s="1">
        <v>92</v>
      </c>
      <c r="M52" s="11">
        <f t="shared" si="0"/>
        <v>0.025436594444444443</v>
      </c>
      <c r="N52" s="205">
        <f>I52*((1.006*(B52-C52)))*1000</f>
        <v>50.54211066666667</v>
      </c>
      <c r="O52" s="205"/>
      <c r="P52" s="205"/>
      <c r="Q52" s="205">
        <f>M52*4.182*1000*(E52-D52)</f>
        <v>23.402684352666544</v>
      </c>
      <c r="R52" s="241"/>
      <c r="S52" s="241"/>
      <c r="T52" s="241"/>
      <c r="U52" s="241"/>
      <c r="V52" s="241"/>
      <c r="W52" s="241"/>
      <c r="X52" s="241"/>
      <c r="Y52" s="240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23"/>
      <c r="AO52" s="241"/>
    </row>
    <row r="53" spans="1:41" ht="12.75">
      <c r="A53" t="s">
        <v>47</v>
      </c>
      <c r="B53" s="198">
        <v>31.9</v>
      </c>
      <c r="C53" s="198">
        <v>24.7</v>
      </c>
      <c r="D53" s="146">
        <v>21.35</v>
      </c>
      <c r="E53" s="146">
        <v>21.59</v>
      </c>
      <c r="F53" s="108">
        <v>9.6</v>
      </c>
      <c r="G53" s="108">
        <v>9.4</v>
      </c>
      <c r="H53" s="1">
        <v>38.1</v>
      </c>
      <c r="I53" s="11">
        <f t="shared" si="2"/>
        <v>0.012107333333333333</v>
      </c>
      <c r="J53" s="3"/>
      <c r="K53" s="5"/>
      <c r="L53" s="1">
        <v>94.5</v>
      </c>
      <c r="M53" s="11">
        <f t="shared" si="0"/>
        <v>0.026127806250000003</v>
      </c>
      <c r="N53" s="205">
        <f>I53*((1.006*(B53-C53)))*1000</f>
        <v>87.69583679999998</v>
      </c>
      <c r="O53" s="205"/>
      <c r="P53" s="205"/>
      <c r="Q53" s="205">
        <f>M53*4.182*1000*(E53-D53)</f>
        <v>26.223956576999836</v>
      </c>
      <c r="R53" s="241"/>
      <c r="S53" s="241"/>
      <c r="T53" s="241"/>
      <c r="U53" s="241"/>
      <c r="V53" s="241"/>
      <c r="W53" s="241"/>
      <c r="X53" s="241"/>
      <c r="Y53" s="240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23"/>
      <c r="AO53" s="241"/>
    </row>
    <row r="54" spans="1:41" ht="12.75">
      <c r="A54" t="s">
        <v>48</v>
      </c>
      <c r="B54" s="198">
        <v>31.9</v>
      </c>
      <c r="C54" s="198">
        <v>25.5</v>
      </c>
      <c r="D54" s="146">
        <v>21.45</v>
      </c>
      <c r="E54" s="146">
        <v>21.76</v>
      </c>
      <c r="F54" s="108">
        <v>9.3</v>
      </c>
      <c r="G54" s="108">
        <v>9.2</v>
      </c>
      <c r="H54" s="1">
        <v>51.2</v>
      </c>
      <c r="I54" s="11">
        <f t="shared" si="2"/>
        <v>0.016270222222222224</v>
      </c>
      <c r="J54" s="3"/>
      <c r="K54" s="5"/>
      <c r="L54" s="1">
        <v>96.2</v>
      </c>
      <c r="M54" s="11">
        <f t="shared" si="0"/>
        <v>0.02659783027777778</v>
      </c>
      <c r="N54" s="205">
        <f>I54*((1.006*(B54-C54)))*1000</f>
        <v>104.75419875555554</v>
      </c>
      <c r="O54" s="205"/>
      <c r="P54" s="205"/>
      <c r="Q54" s="205">
        <f>M54*4.182*1000*(E54-D54)</f>
        <v>34.48195912871692</v>
      </c>
      <c r="R54" s="237" t="s">
        <v>172</v>
      </c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</row>
    <row r="55" spans="1:25" ht="12.75">
      <c r="A55" t="s">
        <v>49</v>
      </c>
      <c r="B55" s="198">
        <v>31.7</v>
      </c>
      <c r="C55" s="198">
        <v>25.8</v>
      </c>
      <c r="D55" s="146">
        <v>21.53</v>
      </c>
      <c r="E55" s="146">
        <v>21.86</v>
      </c>
      <c r="F55" s="108">
        <v>9.3</v>
      </c>
      <c r="G55" s="108">
        <v>9.2</v>
      </c>
      <c r="H55" s="1">
        <v>68.6</v>
      </c>
      <c r="I55" s="11">
        <f t="shared" si="2"/>
        <v>0.021799555555555555</v>
      </c>
      <c r="J55" s="3"/>
      <c r="K55" s="5"/>
      <c r="L55" s="1">
        <v>95.6</v>
      </c>
      <c r="M55" s="11">
        <f t="shared" si="0"/>
        <v>0.02643193944444444</v>
      </c>
      <c r="N55" s="205">
        <f>I55*((1.006*(B55-C55)))*1000</f>
        <v>129.38908204444442</v>
      </c>
      <c r="O55" s="205"/>
      <c r="P55" s="205"/>
      <c r="Q55" s="205">
        <f>M55*4.182*1000*(E55-D55)</f>
        <v>36.477662349699806</v>
      </c>
      <c r="R55" s="205"/>
      <c r="S55" s="205"/>
      <c r="T55" s="205"/>
      <c r="U55" s="103"/>
      <c r="V55" s="103"/>
      <c r="W55" s="103"/>
      <c r="X55" s="103"/>
      <c r="Y55" s="103"/>
    </row>
    <row r="56" spans="1:25" ht="12.75">
      <c r="A56" t="s">
        <v>50</v>
      </c>
      <c r="B56" s="198">
        <v>31.9</v>
      </c>
      <c r="C56" s="198">
        <v>26</v>
      </c>
      <c r="D56" s="146">
        <v>21.5</v>
      </c>
      <c r="E56" s="146">
        <v>21.88</v>
      </c>
      <c r="F56" s="108">
        <v>9.4</v>
      </c>
      <c r="G56" s="108">
        <v>9.3</v>
      </c>
      <c r="H56" s="1">
        <v>85.5</v>
      </c>
      <c r="I56" s="11">
        <f t="shared" si="2"/>
        <v>0.02717</v>
      </c>
      <c r="J56" s="3"/>
      <c r="K56" s="5"/>
      <c r="L56" s="1">
        <v>95.6</v>
      </c>
      <c r="M56" s="11">
        <f t="shared" si="0"/>
        <v>0.02643193944444444</v>
      </c>
      <c r="N56" s="205">
        <f>I56*((1.006*(B56-C56)))*1000</f>
        <v>161.26481799999996</v>
      </c>
      <c r="O56" s="206"/>
      <c r="P56" s="206"/>
      <c r="Q56" s="205">
        <f>M56*4.182*1000*(E56-D56)</f>
        <v>42.004580887533216</v>
      </c>
      <c r="R56" s="205"/>
      <c r="S56" s="205"/>
      <c r="T56" s="206"/>
      <c r="U56" s="187"/>
      <c r="V56" s="187"/>
      <c r="W56" s="187"/>
      <c r="X56" s="187"/>
      <c r="Y56" s="187"/>
    </row>
    <row r="57" spans="8:15" ht="12.75">
      <c r="H57" s="1"/>
      <c r="O57" s="3"/>
    </row>
    <row r="58" ht="12.75">
      <c r="H58" s="1"/>
    </row>
    <row r="59" ht="12.75">
      <c r="H59" s="1"/>
    </row>
  </sheetData>
  <mergeCells count="35">
    <mergeCell ref="D11:E11"/>
    <mergeCell ref="T11:X11"/>
    <mergeCell ref="B11:C11"/>
    <mergeCell ref="F11:G11"/>
    <mergeCell ref="H11:M11"/>
    <mergeCell ref="AF11:AJ11"/>
    <mergeCell ref="H12:I12"/>
    <mergeCell ref="L12:M12"/>
    <mergeCell ref="J12:K12"/>
    <mergeCell ref="N11:S11"/>
    <mergeCell ref="R54:AO54"/>
    <mergeCell ref="Z41:Z53"/>
    <mergeCell ref="AO41:AO53"/>
    <mergeCell ref="AH41:AH53"/>
    <mergeCell ref="AD41:AD53"/>
    <mergeCell ref="AE41:AE53"/>
    <mergeCell ref="AF41:AF53"/>
    <mergeCell ref="AG41:AG53"/>
    <mergeCell ref="AC41:AC53"/>
    <mergeCell ref="AB41:AB53"/>
    <mergeCell ref="X41:X53"/>
    <mergeCell ref="W41:W53"/>
    <mergeCell ref="V41:V53"/>
    <mergeCell ref="AI41:AI53"/>
    <mergeCell ref="AA41:AA53"/>
    <mergeCell ref="A8:AO8"/>
    <mergeCell ref="Y41:Y53"/>
    <mergeCell ref="AJ41:AJ53"/>
    <mergeCell ref="AK41:AK53"/>
    <mergeCell ref="AL41:AL53"/>
    <mergeCell ref="AM41:AM53"/>
    <mergeCell ref="U41:U53"/>
    <mergeCell ref="T41:T53"/>
    <mergeCell ref="S41:S53"/>
    <mergeCell ref="R41:R5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3" r:id="rId13"/>
  <headerFooter alignWithMargins="0">
    <oddFooter>&amp;RDatum: &amp;D</oddFooter>
  </headerFooter>
  <legacyDrawing r:id="rId12"/>
  <oleObjects>
    <oleObject progId="Equation.3" shapeId="2601155" r:id="rId1"/>
    <oleObject progId="Equation.3" shapeId="2616394" r:id="rId2"/>
    <oleObject progId="Equation.3" shapeId="2628981" r:id="rId3"/>
    <oleObject progId="Equation.3" shapeId="784581" r:id="rId4"/>
    <oleObject progId="Equation.3" shapeId="1023984" r:id="rId5"/>
    <oleObject progId="Equation.3" shapeId="1233696" r:id="rId6"/>
    <oleObject progId="Equation.3" shapeId="1383630" r:id="rId7"/>
    <oleObject progId="Equation.3" shapeId="1419857" r:id="rId8"/>
    <oleObject progId="Equation.3" shapeId="1431007" r:id="rId9"/>
    <oleObject progId="Equation.3" shapeId="1464267" r:id="rId10"/>
    <oleObject progId="Equation.3" shapeId="1806878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5"/>
  <sheetViews>
    <sheetView zoomScale="112" zoomScaleNormal="112" workbookViewId="0" topLeftCell="A48">
      <selection activeCell="D74" sqref="D74"/>
    </sheetView>
  </sheetViews>
  <sheetFormatPr defaultColWidth="11.421875" defaultRowHeight="12.75"/>
  <cols>
    <col min="1" max="1" width="4.57421875" style="0" customWidth="1"/>
    <col min="2" max="5" width="9.57421875" style="0" customWidth="1"/>
    <col min="6" max="6" width="7.00390625" style="0" customWidth="1"/>
    <col min="7" max="7" width="8.00390625" style="0" customWidth="1"/>
    <col min="8" max="8" width="4.57421875" style="0" customWidth="1"/>
    <col min="9" max="10" width="9.57421875" style="0" customWidth="1"/>
    <col min="11" max="11" width="10.00390625" style="0" customWidth="1"/>
    <col min="12" max="12" width="9.8515625" style="0" customWidth="1"/>
    <col min="13" max="13" width="10.140625" style="0" customWidth="1"/>
    <col min="14" max="14" width="10.00390625" style="0" customWidth="1"/>
    <col min="15" max="15" width="9.8515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140625" style="0" customWidth="1"/>
    <col min="20" max="20" width="10.00390625" style="0" customWidth="1"/>
    <col min="22" max="33" width="7.57421875" style="0" customWidth="1"/>
    <col min="34" max="49" width="6.57421875" style="0" customWidth="1"/>
  </cols>
  <sheetData>
    <row r="1" spans="1:13" ht="12.75">
      <c r="A1" t="s">
        <v>114</v>
      </c>
      <c r="C1" s="47"/>
      <c r="D1" s="47"/>
      <c r="F1" s="47"/>
      <c r="G1" s="47"/>
      <c r="I1" s="47"/>
      <c r="J1" s="47"/>
      <c r="L1" s="47"/>
      <c r="M1" s="47"/>
    </row>
    <row r="2" spans="2:20" ht="31.5">
      <c r="B2" s="14" t="s">
        <v>86</v>
      </c>
      <c r="C2" s="58" t="s">
        <v>100</v>
      </c>
      <c r="D2" s="59" t="s">
        <v>101</v>
      </c>
      <c r="E2" s="15" t="s">
        <v>87</v>
      </c>
      <c r="F2" s="66" t="s">
        <v>103</v>
      </c>
      <c r="G2" s="67" t="s">
        <v>104</v>
      </c>
      <c r="H2" s="16" t="s">
        <v>88</v>
      </c>
      <c r="I2" s="74" t="s">
        <v>106</v>
      </c>
      <c r="J2" s="75" t="s">
        <v>107</v>
      </c>
      <c r="K2" s="17" t="s">
        <v>89</v>
      </c>
      <c r="L2" s="53" t="s">
        <v>109</v>
      </c>
      <c r="M2" s="84" t="s">
        <v>110</v>
      </c>
      <c r="N2" s="2"/>
      <c r="T2" t="s">
        <v>115</v>
      </c>
    </row>
    <row r="3" spans="1:19" ht="12.75" customHeight="1">
      <c r="A3" s="12" t="s">
        <v>85</v>
      </c>
      <c r="B3" s="60" t="s">
        <v>102</v>
      </c>
      <c r="C3" s="61"/>
      <c r="D3" s="62" t="s">
        <v>73</v>
      </c>
      <c r="E3" s="68" t="s">
        <v>105</v>
      </c>
      <c r="F3" s="69"/>
      <c r="G3" s="70" t="s">
        <v>73</v>
      </c>
      <c r="H3" s="76" t="s">
        <v>108</v>
      </c>
      <c r="I3" s="77"/>
      <c r="J3" s="78" t="s">
        <v>73</v>
      </c>
      <c r="K3" s="85" t="s">
        <v>111</v>
      </c>
      <c r="L3" s="86"/>
      <c r="M3" s="53" t="s">
        <v>73</v>
      </c>
      <c r="N3" s="1"/>
      <c r="O3" s="48" t="s">
        <v>92</v>
      </c>
      <c r="P3" s="262" t="s">
        <v>91</v>
      </c>
      <c r="Q3" s="262"/>
      <c r="R3" s="262"/>
      <c r="S3" s="262"/>
    </row>
    <row r="4" spans="1:21" ht="12.75">
      <c r="A4" s="13" t="s">
        <v>83</v>
      </c>
      <c r="B4" s="62" t="s">
        <v>93</v>
      </c>
      <c r="C4" s="63"/>
      <c r="D4" s="63"/>
      <c r="E4" s="70" t="s">
        <v>93</v>
      </c>
      <c r="F4" s="71"/>
      <c r="G4" s="71"/>
      <c r="H4" s="78" t="s">
        <v>93</v>
      </c>
      <c r="I4" s="79"/>
      <c r="J4" s="79"/>
      <c r="K4" s="87"/>
      <c r="L4" s="56"/>
      <c r="M4" s="53"/>
      <c r="N4" s="1"/>
      <c r="O4" s="18" t="s">
        <v>90</v>
      </c>
      <c r="P4" s="14" t="s">
        <v>86</v>
      </c>
      <c r="Q4" s="15" t="s">
        <v>87</v>
      </c>
      <c r="R4" s="16" t="s">
        <v>88</v>
      </c>
      <c r="S4" s="19" t="s">
        <v>89</v>
      </c>
      <c r="T4" s="3">
        <v>0.4520999362554173</v>
      </c>
      <c r="U4" s="3"/>
    </row>
    <row r="5" spans="1:21" ht="12.75">
      <c r="A5" s="41">
        <v>1</v>
      </c>
      <c r="B5" s="20">
        <f>'Übersicht '!AI15</f>
        <v>0.00039868318843151566</v>
      </c>
      <c r="C5" s="64">
        <f>'Übersicht '!AO15</f>
        <v>0.9753033825824445</v>
      </c>
      <c r="D5" s="61">
        <f>'Übersicht '!W15</f>
        <v>94.84167898648364</v>
      </c>
      <c r="E5" s="72"/>
      <c r="F5" s="73"/>
      <c r="G5" s="73"/>
      <c r="H5" s="80"/>
      <c r="I5" s="81"/>
      <c r="J5" s="81"/>
      <c r="K5" s="88"/>
      <c r="L5" s="89"/>
      <c r="M5" s="90"/>
      <c r="N5" s="31"/>
      <c r="O5" s="22">
        <v>2.096525423728814</v>
      </c>
      <c r="P5" s="20">
        <f>B5</f>
        <v>0.00039868318843151566</v>
      </c>
      <c r="Q5" s="21"/>
      <c r="R5" s="21"/>
      <c r="S5" s="23"/>
      <c r="T5" s="3"/>
      <c r="U5" s="3"/>
    </row>
    <row r="6" spans="1:21" ht="12.75">
      <c r="A6" s="41">
        <v>1.1</v>
      </c>
      <c r="B6" s="20"/>
      <c r="C6" s="39"/>
      <c r="D6" s="39"/>
      <c r="E6" s="24">
        <f>'Übersicht '!AH21</f>
        <v>0.032408993399115384</v>
      </c>
      <c r="F6" s="71">
        <f>'Übersicht '!AO21</f>
        <v>0.8403331911301082</v>
      </c>
      <c r="G6" s="38">
        <f>'Übersicht '!W21</f>
        <v>31.640563202024996</v>
      </c>
      <c r="H6" s="82">
        <f>'Übersicht '!AH27</f>
        <v>0.05339637522978462</v>
      </c>
      <c r="I6" s="81">
        <f>'Übersicht '!AO27</f>
        <v>0.9280289545143348</v>
      </c>
      <c r="J6" s="79">
        <f>'Übersicht '!W27</f>
        <v>51.94805194805193</v>
      </c>
      <c r="K6" s="26">
        <f>'Übersicht '!AH33</f>
        <v>0.02599188635523908</v>
      </c>
      <c r="L6" s="56">
        <f>'Übersicht '!AO33</f>
        <v>0.7496265241077202</v>
      </c>
      <c r="M6" s="56">
        <v>8.344671201814059</v>
      </c>
      <c r="N6" s="3"/>
      <c r="O6" s="27">
        <v>2.7994708994708994</v>
      </c>
      <c r="P6" s="21"/>
      <c r="Q6" s="21"/>
      <c r="R6" s="25">
        <f>H6</f>
        <v>0.05339637522978462</v>
      </c>
      <c r="S6" s="23"/>
      <c r="T6" s="3">
        <v>0.33056359813810626</v>
      </c>
      <c r="U6" s="3"/>
    </row>
    <row r="7" spans="1:21" ht="12.75">
      <c r="A7" s="41">
        <v>2.1</v>
      </c>
      <c r="B7" s="20">
        <f>'Übersicht '!AI16</f>
        <v>0.00027067695507380457</v>
      </c>
      <c r="C7" s="64">
        <f>'Übersicht '!AO16</f>
        <v>1.2298822505629747</v>
      </c>
      <c r="D7" s="63">
        <f>'Übersicht '!W16</f>
        <v>92.72248989411321</v>
      </c>
      <c r="E7" s="24">
        <f>'Übersicht '!AH22</f>
        <v>0.03176081353113307</v>
      </c>
      <c r="F7" s="71">
        <f>'Übersicht '!AO22</f>
        <v>0.8931646441083296</v>
      </c>
      <c r="G7" s="71">
        <f>'Übersicht '!W22</f>
        <v>31.00775193798449</v>
      </c>
      <c r="H7" s="80"/>
      <c r="I7" s="81"/>
      <c r="J7" s="81"/>
      <c r="K7" s="26">
        <f>'Übersicht '!AH34</f>
        <v>0.02775763950437217</v>
      </c>
      <c r="L7" s="89">
        <f>'Übersicht '!AO34</f>
        <v>0.8572934884704809</v>
      </c>
      <c r="M7" s="89">
        <v>8.911564625850339</v>
      </c>
      <c r="N7" s="40"/>
      <c r="O7" s="22">
        <v>4.542729306487696</v>
      </c>
      <c r="P7" s="20">
        <f>B7</f>
        <v>0.00027067695507380457</v>
      </c>
      <c r="Q7" s="21"/>
      <c r="R7" s="21"/>
      <c r="S7" s="23"/>
      <c r="T7" s="3">
        <v>0.3001497668111614</v>
      </c>
      <c r="U7" s="3"/>
    </row>
    <row r="8" spans="1:21" ht="12.75">
      <c r="A8" s="42">
        <v>2.2</v>
      </c>
      <c r="B8" s="20"/>
      <c r="C8" s="39"/>
      <c r="D8" s="39"/>
      <c r="E8" s="24"/>
      <c r="F8" s="38"/>
      <c r="G8" s="38"/>
      <c r="H8" s="82">
        <f>'Übersicht '!AH28</f>
        <v>0.03693955587986423</v>
      </c>
      <c r="I8" s="81">
        <f>'Übersicht '!AO28</f>
        <v>1.0092376130713914</v>
      </c>
      <c r="J8" s="79">
        <f>'Übersicht '!W28</f>
        <v>35.93760736617879</v>
      </c>
      <c r="K8" s="26">
        <f>'Übersicht '!AH35</f>
        <v>0.023237311442591457</v>
      </c>
      <c r="L8" s="89">
        <f>'Übersicht '!AO35</f>
        <v>1.1766926548511627</v>
      </c>
      <c r="M8" s="89">
        <v>7.46031746031746</v>
      </c>
      <c r="N8" s="40"/>
      <c r="O8" s="28">
        <v>5.6889130434782595</v>
      </c>
      <c r="P8" s="21"/>
      <c r="Q8" s="21"/>
      <c r="R8" s="21"/>
      <c r="S8" s="29">
        <f>K6</f>
        <v>0.02599188635523908</v>
      </c>
      <c r="T8" s="3">
        <v>0.264450878510485</v>
      </c>
      <c r="U8" s="3"/>
    </row>
    <row r="9" spans="1:21" ht="12.75">
      <c r="A9" s="43">
        <v>2.83</v>
      </c>
      <c r="B9" s="20"/>
      <c r="C9" s="39"/>
      <c r="D9" s="39"/>
      <c r="E9" s="24">
        <f>'Übersicht '!AH23</f>
        <v>0.030572483773165512</v>
      </c>
      <c r="F9" s="71">
        <f>'Übersicht '!AO23</f>
        <v>1.18573523717932</v>
      </c>
      <c r="G9" s="38">
        <f>'Übersicht '!W23</f>
        <v>29.847597953910245</v>
      </c>
      <c r="H9" s="80"/>
      <c r="I9" s="81"/>
      <c r="J9" s="81"/>
      <c r="K9" s="88"/>
      <c r="L9" s="89"/>
      <c r="M9" s="56"/>
      <c r="N9" s="3"/>
      <c r="O9" s="22">
        <v>6.76</v>
      </c>
      <c r="P9" s="20">
        <f>B10</f>
        <v>0.00016944969710895358</v>
      </c>
      <c r="Q9" s="21"/>
      <c r="R9" s="21"/>
      <c r="S9" s="29"/>
      <c r="T9" s="3">
        <v>0.21156070280838796</v>
      </c>
      <c r="U9" s="3"/>
    </row>
    <row r="10" spans="1:21" ht="12.75">
      <c r="A10" s="41">
        <v>2.894</v>
      </c>
      <c r="B10" s="20">
        <f>'Übersicht '!AI17</f>
        <v>0.00016944969710895358</v>
      </c>
      <c r="C10" s="64">
        <f>'Übersicht '!AO17</f>
        <v>1.250484015919176</v>
      </c>
      <c r="D10" s="63">
        <f>'Übersicht '!W17</f>
        <v>63.093812742418535</v>
      </c>
      <c r="E10" s="72"/>
      <c r="F10" s="73"/>
      <c r="G10" s="73"/>
      <c r="H10" s="80"/>
      <c r="I10" s="81"/>
      <c r="J10" s="81"/>
      <c r="K10" s="26">
        <f>'Übersicht '!AH36</f>
        <v>0.024649913961897935</v>
      </c>
      <c r="L10" s="89">
        <f>'Übersicht '!AO36</f>
        <v>1.4523880981962667</v>
      </c>
      <c r="M10" s="56">
        <v>7.913832199546486</v>
      </c>
      <c r="N10" s="3"/>
      <c r="O10" s="30">
        <v>6.978399999999999</v>
      </c>
      <c r="P10" s="21"/>
      <c r="Q10" s="24">
        <f>E6</f>
        <v>0.032408993399115384</v>
      </c>
      <c r="R10" s="21"/>
      <c r="S10" s="29"/>
      <c r="T10" s="3"/>
      <c r="U10" s="3"/>
    </row>
    <row r="11" spans="1:21" ht="12.75">
      <c r="A11" s="42">
        <v>3</v>
      </c>
      <c r="B11" s="20"/>
      <c r="C11" s="39"/>
      <c r="D11" s="39"/>
      <c r="E11" s="72"/>
      <c r="F11" s="73"/>
      <c r="G11" s="73"/>
      <c r="H11" s="82">
        <f>'Übersicht '!AH29</f>
        <v>0.03778711739144812</v>
      </c>
      <c r="I11" s="79">
        <f>'Übersicht '!AO29</f>
        <v>1.6046940718948346</v>
      </c>
      <c r="J11" s="79">
        <f>'Übersicht '!W29</f>
        <v>36.762179619322474</v>
      </c>
      <c r="K11" s="88"/>
      <c r="M11" s="56"/>
      <c r="N11" s="3"/>
      <c r="O11" s="27">
        <v>8.137055449330784</v>
      </c>
      <c r="P11" s="21"/>
      <c r="Q11" s="24"/>
      <c r="R11" s="25">
        <f>H8</f>
        <v>0.03693955587986423</v>
      </c>
      <c r="S11" s="29"/>
      <c r="T11" s="3">
        <v>0.43327898460601627</v>
      </c>
      <c r="U11" s="3"/>
    </row>
    <row r="12" spans="1:21" ht="12.75">
      <c r="A12" s="41">
        <v>3.8</v>
      </c>
      <c r="B12" s="20">
        <f>'Übersicht '!AI18</f>
        <v>0.00011696689014362984</v>
      </c>
      <c r="C12" s="64">
        <f>'Übersicht '!AO18</f>
        <v>1.3188041441306615</v>
      </c>
      <c r="D12" s="39">
        <f>'Übersicht '!W19</f>
        <v>43.30349295451942</v>
      </c>
      <c r="E12" s="72"/>
      <c r="F12" s="73"/>
      <c r="G12" s="73"/>
      <c r="H12" s="80"/>
      <c r="I12" s="81"/>
      <c r="J12" s="81"/>
      <c r="K12" s="88"/>
      <c r="L12" s="89"/>
      <c r="M12" s="56"/>
      <c r="N12" s="3"/>
      <c r="O12" s="22">
        <v>9.157566909975667</v>
      </c>
      <c r="P12" s="20">
        <f>B12</f>
        <v>0.00011696689014362984</v>
      </c>
      <c r="Q12" s="21"/>
      <c r="R12" s="21"/>
      <c r="S12" s="29"/>
      <c r="T12" s="3">
        <v>0.34963878493097916</v>
      </c>
      <c r="U12" s="3"/>
    </row>
    <row r="13" spans="1:21" ht="12.75">
      <c r="A13" s="43">
        <v>3.9</v>
      </c>
      <c r="B13" s="20"/>
      <c r="C13" s="39"/>
      <c r="D13" s="39"/>
      <c r="E13" s="24">
        <f>'Übersicht '!AH24</f>
        <v>0.028411884213224485</v>
      </c>
      <c r="F13" s="71">
        <f>'Übersicht '!AO24</f>
        <v>1.113427853300317</v>
      </c>
      <c r="G13" s="71">
        <f>'Übersicht '!W24</f>
        <v>27.738227073775246</v>
      </c>
      <c r="H13" s="82">
        <f>'Übersicht '!AH30</f>
        <v>0.03392894676059231</v>
      </c>
      <c r="I13" s="79">
        <f>'Übersicht '!AO30</f>
        <v>2.505246933081773</v>
      </c>
      <c r="J13" s="79">
        <f>'Übersicht '!W30</f>
        <v>33.008658008658</v>
      </c>
      <c r="K13" s="88"/>
      <c r="M13" s="56"/>
      <c r="N13" s="3"/>
      <c r="O13" s="28">
        <v>10.362951653944018</v>
      </c>
      <c r="P13" s="21"/>
      <c r="Q13" s="21"/>
      <c r="R13" s="21"/>
      <c r="S13" s="29">
        <f>K7</f>
        <v>0.02775763950437217</v>
      </c>
      <c r="T13" s="3">
        <v>0.29464021237742644</v>
      </c>
      <c r="U13" s="3"/>
    </row>
    <row r="14" spans="1:21" ht="12.75">
      <c r="A14" s="44">
        <v>4</v>
      </c>
      <c r="B14" s="20"/>
      <c r="C14" s="39"/>
      <c r="D14" s="39"/>
      <c r="E14" s="24"/>
      <c r="F14" s="38"/>
      <c r="G14" s="38"/>
      <c r="H14" s="82"/>
      <c r="I14" s="83"/>
      <c r="J14" s="83"/>
      <c r="K14" s="26">
        <f>'Übersicht '!AH37</f>
        <v>0.027333858748580225</v>
      </c>
      <c r="L14" s="89">
        <f>'Übersicht '!AO37</f>
        <v>1.6215904062949267</v>
      </c>
      <c r="M14" s="56">
        <v>8.775510204081632</v>
      </c>
      <c r="N14" s="3"/>
      <c r="O14" s="27">
        <v>10.905420560747663</v>
      </c>
      <c r="P14" s="21"/>
      <c r="Q14" s="21"/>
      <c r="R14" s="25">
        <f>H11</f>
        <v>0.03778711739144812</v>
      </c>
      <c r="S14" s="29"/>
      <c r="T14" s="3">
        <v>0.25190638639884666</v>
      </c>
      <c r="U14" s="3"/>
    </row>
    <row r="15" spans="1:21" ht="12.75">
      <c r="A15" s="41">
        <v>4.8</v>
      </c>
      <c r="B15" s="20">
        <f>'Übersicht '!AI19</f>
        <v>8.090383340050268E-05</v>
      </c>
      <c r="C15" s="64">
        <f>'Übersicht '!AO19</f>
        <v>1.5739227094761445</v>
      </c>
      <c r="D15" s="63">
        <v>17.49648135116115</v>
      </c>
      <c r="E15" s="24">
        <f>'Übersicht '!AH25</f>
        <v>0.02938415401519795</v>
      </c>
      <c r="F15" s="71">
        <f>'Übersicht '!AO25</f>
        <v>1.4351445730922834</v>
      </c>
      <c r="G15" s="38">
        <f>'Übersicht '!W25</f>
        <v>28.687443969836</v>
      </c>
      <c r="H15" s="82">
        <f>'Übersicht '!AH31</f>
        <v>0.027969529882268144</v>
      </c>
      <c r="I15" s="79">
        <f>'Übersicht '!AO31</f>
        <v>2.47078254800968</v>
      </c>
      <c r="J15" s="79">
        <f>'Übersicht '!W31</f>
        <v>27.2108843537415</v>
      </c>
      <c r="K15" s="88"/>
      <c r="M15" s="56"/>
      <c r="N15" s="3"/>
      <c r="O15" s="22">
        <v>11.708345679012345</v>
      </c>
      <c r="P15" s="20">
        <f>B15</f>
        <v>8.090383340050268E-05</v>
      </c>
      <c r="Q15" s="21"/>
      <c r="R15" s="21"/>
      <c r="S15" s="29"/>
      <c r="T15" s="3">
        <v>0.2059772063049502</v>
      </c>
      <c r="U15" s="3"/>
    </row>
    <row r="16" spans="1:21" ht="12.75">
      <c r="A16" s="44">
        <v>4.9</v>
      </c>
      <c r="B16" s="65"/>
      <c r="C16" s="64"/>
      <c r="D16" s="64"/>
      <c r="E16" s="37"/>
      <c r="F16" s="3"/>
      <c r="G16" s="3"/>
      <c r="I16" s="3"/>
      <c r="J16" s="3"/>
      <c r="K16" s="26">
        <f>'Übersicht '!AH38</f>
        <v>0.024861804339793892</v>
      </c>
      <c r="L16" s="89">
        <f>'Übersicht '!AO38</f>
        <v>1.4517549004738362</v>
      </c>
      <c r="M16" s="56">
        <v>7.981859410430836</v>
      </c>
      <c r="N16" s="3"/>
      <c r="O16" s="28">
        <v>12.935197568389059</v>
      </c>
      <c r="P16" s="21"/>
      <c r="Q16" s="21"/>
      <c r="R16" s="21"/>
      <c r="S16" s="29">
        <f>K8</f>
        <v>0.023237311442591457</v>
      </c>
      <c r="T16" s="3"/>
      <c r="U16" s="3"/>
    </row>
    <row r="17" spans="1:21" ht="12.75">
      <c r="A17" s="45"/>
      <c r="B17" s="31"/>
      <c r="C17" s="40"/>
      <c r="D17" s="40"/>
      <c r="F17" s="3"/>
      <c r="G17" s="3"/>
      <c r="H17" s="37"/>
      <c r="I17" s="3"/>
      <c r="J17" s="3"/>
      <c r="K17" s="88"/>
      <c r="L17" s="89"/>
      <c r="M17" s="87"/>
      <c r="O17" s="30">
        <v>14.436190476190477</v>
      </c>
      <c r="P17" s="21"/>
      <c r="Q17" s="24">
        <f>E7</f>
        <v>0.03176081353113307</v>
      </c>
      <c r="R17" s="21"/>
      <c r="S17" s="23"/>
      <c r="T17" s="3">
        <v>0.39933832461452995</v>
      </c>
      <c r="U17" s="3"/>
    </row>
    <row r="18" spans="1:21" ht="12.75">
      <c r="A18" s="46"/>
      <c r="B18" s="37"/>
      <c r="C18" s="40"/>
      <c r="D18" s="40"/>
      <c r="F18" s="3"/>
      <c r="G18" s="3"/>
      <c r="H18" s="31"/>
      <c r="I18" s="3"/>
      <c r="J18" s="3"/>
      <c r="K18" s="37"/>
      <c r="L18" s="40"/>
      <c r="O18" s="27">
        <v>16.287457627118645</v>
      </c>
      <c r="P18" s="21"/>
      <c r="Q18" s="24"/>
      <c r="R18" s="25">
        <f>H13</f>
        <v>0.03392894676059231</v>
      </c>
      <c r="S18" s="23"/>
      <c r="T18" s="3">
        <v>0.2981265369959072</v>
      </c>
      <c r="U18" s="3"/>
    </row>
    <row r="19" spans="1:21" ht="12.75">
      <c r="A19" s="1"/>
      <c r="B19" s="3"/>
      <c r="C19" s="3"/>
      <c r="D19" s="36"/>
      <c r="F19" s="11"/>
      <c r="G19" s="11"/>
      <c r="H19" s="31"/>
      <c r="I19" s="3"/>
      <c r="J19" s="3"/>
      <c r="K19" s="37"/>
      <c r="L19" s="40"/>
      <c r="O19" s="28">
        <v>16.61914040114613</v>
      </c>
      <c r="P19" s="21"/>
      <c r="Q19" s="21"/>
      <c r="R19" s="21"/>
      <c r="S19" s="29">
        <f>K10</f>
        <v>0.024649913961897935</v>
      </c>
      <c r="T19" s="3">
        <v>0.2348998175043872</v>
      </c>
      <c r="U19" s="3"/>
    </row>
    <row r="20" spans="1:21" ht="12.75">
      <c r="A20" s="257" t="s">
        <v>96</v>
      </c>
      <c r="B20" s="257"/>
      <c r="C20" s="257"/>
      <c r="D20" s="257"/>
      <c r="F20" s="91" t="s">
        <v>112</v>
      </c>
      <c r="G20" s="260" t="s">
        <v>116</v>
      </c>
      <c r="H20" s="261"/>
      <c r="I20" s="261"/>
      <c r="J20" s="261"/>
      <c r="L20" s="40"/>
      <c r="O20" s="28">
        <v>20.219534883720932</v>
      </c>
      <c r="P20" s="21"/>
      <c r="Q20" s="21"/>
      <c r="R20" s="21"/>
      <c r="S20" s="29">
        <f>K14</f>
        <v>0.027333858748580225</v>
      </c>
      <c r="T20" s="3">
        <v>0.19222690007062468</v>
      </c>
      <c r="U20" s="3"/>
    </row>
    <row r="21" spans="1:21" ht="14.25">
      <c r="A21" s="54" t="s">
        <v>97</v>
      </c>
      <c r="B21" s="55" t="s">
        <v>98</v>
      </c>
      <c r="C21" s="55" t="s">
        <v>99</v>
      </c>
      <c r="D21" s="53" t="s">
        <v>85</v>
      </c>
      <c r="F21" s="92" t="s">
        <v>90</v>
      </c>
      <c r="G21" s="17" t="s">
        <v>86</v>
      </c>
      <c r="H21" s="17" t="s">
        <v>87</v>
      </c>
      <c r="I21" s="17" t="s">
        <v>88</v>
      </c>
      <c r="J21" s="93" t="s">
        <v>89</v>
      </c>
      <c r="L21" s="21"/>
      <c r="M21" s="21"/>
      <c r="N21" s="21"/>
      <c r="O21" s="30">
        <v>20.29286219081272</v>
      </c>
      <c r="P21" s="21"/>
      <c r="Q21" s="24">
        <f>E9</f>
        <v>0.030572483773165512</v>
      </c>
      <c r="R21" s="21"/>
      <c r="S21" s="23"/>
      <c r="T21" s="3">
        <v>0.1758166418771067</v>
      </c>
      <c r="U21" s="3"/>
    </row>
    <row r="22" spans="1:21" ht="12.75">
      <c r="A22" s="55" t="s">
        <v>15</v>
      </c>
      <c r="B22" s="55" t="s">
        <v>15</v>
      </c>
      <c r="C22" s="55" t="s">
        <v>15</v>
      </c>
      <c r="D22" s="53" t="s">
        <v>83</v>
      </c>
      <c r="E22" s="3"/>
      <c r="F22" s="30">
        <f>'Übersicht '!AM15</f>
        <v>2.096525423728814</v>
      </c>
      <c r="G22" s="98">
        <f>T4*100</f>
        <v>45.20999362554173</v>
      </c>
      <c r="H22" s="94"/>
      <c r="I22" s="94"/>
      <c r="J22" s="95"/>
      <c r="L22" s="21"/>
      <c r="M22" s="21"/>
      <c r="N22" s="21"/>
      <c r="O22" s="27">
        <v>23.977777777777774</v>
      </c>
      <c r="P22" s="21"/>
      <c r="Q22" s="24"/>
      <c r="R22" s="25">
        <f>H15</f>
        <v>0.027969529882268144</v>
      </c>
      <c r="S22" s="23"/>
      <c r="T22" s="3"/>
      <c r="U22" s="3"/>
    </row>
    <row r="23" spans="1:21" ht="12.75">
      <c r="A23" s="56">
        <v>98.37394520604448</v>
      </c>
      <c r="B23" s="56">
        <v>49.774868000000005</v>
      </c>
      <c r="C23" s="56">
        <v>48.59907720604448</v>
      </c>
      <c r="D23" s="57">
        <v>1</v>
      </c>
      <c r="E23" s="6"/>
      <c r="F23" s="30">
        <v>2.8</v>
      </c>
      <c r="G23" s="99"/>
      <c r="H23" s="99"/>
      <c r="I23" s="98">
        <f>T17*100</f>
        <v>39.933832461452994</v>
      </c>
      <c r="J23" s="95"/>
      <c r="L23" s="21"/>
      <c r="M23" s="21"/>
      <c r="N23" s="21"/>
      <c r="O23" s="28">
        <v>27.235</v>
      </c>
      <c r="P23" s="21"/>
      <c r="Q23" s="21"/>
      <c r="R23" s="21"/>
      <c r="S23" s="29">
        <f>K16</f>
        <v>0.024861804339793892</v>
      </c>
      <c r="T23" s="3">
        <v>0.3929739627822008</v>
      </c>
      <c r="U23" s="3"/>
    </row>
    <row r="24" spans="1:21" ht="12.75">
      <c r="A24" s="56">
        <v>158.29660751666665</v>
      </c>
      <c r="B24" s="56">
        <v>88.86268502222222</v>
      </c>
      <c r="C24" s="56">
        <v>69.43392249444443</v>
      </c>
      <c r="D24" s="57">
        <v>2</v>
      </c>
      <c r="E24" s="6"/>
      <c r="F24" s="102">
        <v>4.4</v>
      </c>
      <c r="G24" s="57">
        <f>T6*100</f>
        <v>33.05635981381062</v>
      </c>
      <c r="H24" s="94"/>
      <c r="I24" s="94"/>
      <c r="J24" s="95"/>
      <c r="L24" s="21"/>
      <c r="M24" s="21"/>
      <c r="N24" s="21"/>
      <c r="O24" s="30">
        <v>29.27422053231939</v>
      </c>
      <c r="P24" s="21"/>
      <c r="Q24" s="24">
        <f>E13</f>
        <v>0.028411884213224485</v>
      </c>
      <c r="R24" s="21"/>
      <c r="S24" s="23"/>
      <c r="T24" s="3"/>
      <c r="U24" s="3"/>
    </row>
    <row r="25" spans="1:21" ht="12.75" customHeight="1">
      <c r="A25" s="56">
        <v>204.4536713393778</v>
      </c>
      <c r="B25" s="56">
        <v>112.12612204444446</v>
      </c>
      <c r="C25" s="56">
        <v>92.32754929493333</v>
      </c>
      <c r="D25" s="57">
        <v>3</v>
      </c>
      <c r="E25" s="6"/>
      <c r="F25" s="30">
        <f>'Übersicht '!AM33</f>
        <v>5.6889130434782595</v>
      </c>
      <c r="G25" s="94"/>
      <c r="H25" s="94"/>
      <c r="I25" s="94"/>
      <c r="J25" s="98">
        <f>T23*100</f>
        <v>39.297396278220084</v>
      </c>
      <c r="L25" s="32"/>
      <c r="M25" s="32"/>
      <c r="N25" s="32"/>
      <c r="O25" s="33">
        <v>34.61441176470588</v>
      </c>
      <c r="P25" s="32"/>
      <c r="Q25" s="34">
        <f>E15</f>
        <v>0.02938415401519795</v>
      </c>
      <c r="R25" s="32"/>
      <c r="S25" s="35"/>
      <c r="T25" s="3">
        <v>0.31438626225492394</v>
      </c>
      <c r="U25" s="3"/>
    </row>
    <row r="26" spans="1:21" ht="12.75">
      <c r="A26" s="56">
        <v>243.89482628622218</v>
      </c>
      <c r="B26" s="56">
        <v>132.924792</v>
      </c>
      <c r="C26" s="56">
        <v>110.97003428622219</v>
      </c>
      <c r="D26" s="57">
        <v>4</v>
      </c>
      <c r="E26" s="6">
        <v>9</v>
      </c>
      <c r="F26" s="28">
        <v>6.76</v>
      </c>
      <c r="H26" s="94"/>
      <c r="I26" s="94"/>
      <c r="J26" s="29"/>
      <c r="P26" s="3">
        <v>2.096525423728814</v>
      </c>
      <c r="T26" s="3">
        <v>0.2642857997351905</v>
      </c>
      <c r="U26" s="3"/>
    </row>
    <row r="27" spans="1:21" ht="12.75">
      <c r="A27" s="56">
        <v>272.8306201319111</v>
      </c>
      <c r="B27" s="56">
        <v>152.41275573333334</v>
      </c>
      <c r="C27" s="56">
        <v>120.41786439857773</v>
      </c>
      <c r="D27" s="57">
        <v>5</v>
      </c>
      <c r="E27" s="3"/>
      <c r="F27" s="30">
        <f>'Übersicht '!AM21</f>
        <v>6.978399999999999</v>
      </c>
      <c r="G27" s="94"/>
      <c r="H27" s="98">
        <f>T11*100</f>
        <v>43.327898460601624</v>
      </c>
      <c r="I27" s="99"/>
      <c r="J27" s="29"/>
      <c r="K27" s="12" t="s">
        <v>85</v>
      </c>
      <c r="L27" s="258" t="s">
        <v>113</v>
      </c>
      <c r="M27" s="259"/>
      <c r="N27" s="259"/>
      <c r="O27" s="259"/>
      <c r="P27" s="3">
        <v>4.4</v>
      </c>
      <c r="T27" s="3">
        <v>0.18053420127935896</v>
      </c>
      <c r="U27" s="3"/>
    </row>
    <row r="28" spans="1:21" ht="12.75">
      <c r="A28" s="56"/>
      <c r="B28" s="56"/>
      <c r="C28" s="56"/>
      <c r="D28" s="57"/>
      <c r="E28" s="3"/>
      <c r="F28" s="30">
        <f>'Übersicht '!AM28</f>
        <v>8.137055449330784</v>
      </c>
      <c r="G28" s="94"/>
      <c r="H28" s="24"/>
      <c r="I28" s="98">
        <f>T18*100</f>
        <v>29.81265369959072</v>
      </c>
      <c r="J28" s="29"/>
      <c r="K28" s="13" t="s">
        <v>83</v>
      </c>
      <c r="L28" s="17" t="s">
        <v>86</v>
      </c>
      <c r="M28" s="17" t="s">
        <v>87</v>
      </c>
      <c r="N28" s="17" t="s">
        <v>88</v>
      </c>
      <c r="O28" s="93" t="s">
        <v>89</v>
      </c>
      <c r="P28" s="3"/>
      <c r="T28" s="3">
        <v>0.21819666294222365</v>
      </c>
      <c r="U28" s="3"/>
    </row>
    <row r="29" spans="1:16" ht="12.75">
      <c r="A29" s="56">
        <v>109.09905065106668</v>
      </c>
      <c r="B29" s="56">
        <v>49.774868000000005</v>
      </c>
      <c r="C29" s="56">
        <v>59.32418265106667</v>
      </c>
      <c r="D29" s="57">
        <v>1</v>
      </c>
      <c r="E29" s="3"/>
      <c r="F29" s="30">
        <f>'Übersicht '!AM17</f>
        <v>9</v>
      </c>
      <c r="G29" s="57">
        <f>T7*100</f>
        <v>30.01497668111614</v>
      </c>
      <c r="H29" s="24"/>
      <c r="I29" s="98"/>
      <c r="J29" s="29"/>
      <c r="K29" s="41">
        <v>1</v>
      </c>
      <c r="L29" s="100">
        <f>G22</f>
        <v>45.20999362554173</v>
      </c>
      <c r="M29" s="100"/>
      <c r="N29" s="100"/>
      <c r="O29" s="100"/>
      <c r="P29" s="3"/>
    </row>
    <row r="30" spans="1:16" ht="12.75">
      <c r="A30" s="56">
        <v>188.52911250506668</v>
      </c>
      <c r="B30" s="56">
        <v>88.86268502222222</v>
      </c>
      <c r="C30" s="56">
        <v>99.66642748284445</v>
      </c>
      <c r="D30" s="57">
        <v>2</v>
      </c>
      <c r="E30" s="3">
        <v>15.1</v>
      </c>
      <c r="F30" s="28">
        <v>9.157566909975667</v>
      </c>
      <c r="H30" s="94"/>
      <c r="I30" s="94"/>
      <c r="J30" s="29"/>
      <c r="K30" s="41">
        <v>1.1</v>
      </c>
      <c r="L30" s="100">
        <f>G24</f>
        <v>33.05635981381062</v>
      </c>
      <c r="M30" s="100">
        <f>H27</f>
        <v>43.327898460601624</v>
      </c>
      <c r="N30" s="100">
        <f>I23</f>
        <v>39.933832461452994</v>
      </c>
      <c r="O30" s="100">
        <f>J25</f>
        <v>39.297396278220084</v>
      </c>
      <c r="P30" s="3"/>
    </row>
    <row r="31" spans="1:20" ht="12.75">
      <c r="A31" s="56">
        <v>206.89284173653326</v>
      </c>
      <c r="B31" s="56">
        <v>112.12612204444446</v>
      </c>
      <c r="C31" s="56">
        <v>94.7667196920888</v>
      </c>
      <c r="D31" s="57">
        <v>3</v>
      </c>
      <c r="E31" s="3"/>
      <c r="F31" s="30">
        <f>'Übersicht '!AM29</f>
        <v>10.905420560747663</v>
      </c>
      <c r="G31" s="94"/>
      <c r="H31" s="94"/>
      <c r="I31" s="98">
        <f>T19*100</f>
        <v>23.48998175043872</v>
      </c>
      <c r="J31" s="29"/>
      <c r="K31" s="41">
        <v>2.1</v>
      </c>
      <c r="L31" s="100">
        <f>G29</f>
        <v>30.01497668111614</v>
      </c>
      <c r="M31" s="100">
        <f>H34</f>
        <v>34.963878493097916</v>
      </c>
      <c r="N31" s="100"/>
      <c r="O31" s="100"/>
      <c r="P31" s="3"/>
      <c r="T31" s="49"/>
    </row>
    <row r="32" spans="1:16" ht="12.75">
      <c r="A32" s="56">
        <v>252.54343320555554</v>
      </c>
      <c r="B32" s="56">
        <v>132.924792</v>
      </c>
      <c r="C32" s="56">
        <v>119.61864120555555</v>
      </c>
      <c r="D32" s="57">
        <v>4</v>
      </c>
      <c r="E32" s="3">
        <v>19</v>
      </c>
      <c r="F32" s="28">
        <v>11.708345679012345</v>
      </c>
      <c r="H32" s="94"/>
      <c r="I32" s="94"/>
      <c r="J32" s="29"/>
      <c r="K32" s="42">
        <v>2.2</v>
      </c>
      <c r="L32" s="100"/>
      <c r="M32" s="100"/>
      <c r="N32" s="100">
        <f>I28</f>
        <v>29.81265369959072</v>
      </c>
      <c r="O32" s="100">
        <f>J33</f>
        <v>31.438626225492396</v>
      </c>
      <c r="P32" s="3"/>
    </row>
    <row r="33" spans="1:16" ht="12.75">
      <c r="A33" s="56">
        <v>258.8797976272445</v>
      </c>
      <c r="B33" s="56">
        <v>152.41275573333334</v>
      </c>
      <c r="C33" s="56">
        <v>106.46704189391116</v>
      </c>
      <c r="D33" s="57">
        <v>5</v>
      </c>
      <c r="E33" s="3"/>
      <c r="F33" s="30">
        <f>'Übersicht '!AM35</f>
        <v>12.935197568389059</v>
      </c>
      <c r="G33" s="94"/>
      <c r="H33" s="94"/>
      <c r="I33" s="94"/>
      <c r="J33" s="98">
        <f>T25*100</f>
        <v>31.438626225492396</v>
      </c>
      <c r="K33" s="43">
        <v>2.83</v>
      </c>
      <c r="L33" s="100"/>
      <c r="M33" s="100">
        <f>H40</f>
        <v>29.464021237742642</v>
      </c>
      <c r="N33" s="100"/>
      <c r="O33" s="100"/>
      <c r="P33" s="3"/>
    </row>
    <row r="34" spans="1:16" ht="12.75">
      <c r="A34" s="56"/>
      <c r="B34" s="56"/>
      <c r="C34" s="56"/>
      <c r="D34" s="57"/>
      <c r="E34" s="3"/>
      <c r="F34" s="30">
        <f>'Übersicht '!AM22</f>
        <v>14.436190476190477</v>
      </c>
      <c r="G34" s="99"/>
      <c r="H34" s="98">
        <f>T12*100</f>
        <v>34.963878493097916</v>
      </c>
      <c r="I34" s="94"/>
      <c r="J34" s="95"/>
      <c r="K34" s="41">
        <v>2.894</v>
      </c>
      <c r="L34" s="100"/>
      <c r="M34" s="100"/>
      <c r="N34" s="100"/>
      <c r="O34" s="100">
        <f>J37</f>
        <v>26.42857997351905</v>
      </c>
      <c r="P34" s="3"/>
    </row>
    <row r="35" spans="1:16" ht="12.75">
      <c r="A35" s="56">
        <v>87.79261414733332</v>
      </c>
      <c r="B35" s="56">
        <v>42.21752773333335</v>
      </c>
      <c r="C35" s="56">
        <v>45.575086413999976</v>
      </c>
      <c r="D35" s="57">
        <v>1</v>
      </c>
      <c r="E35" s="3">
        <v>15.1</v>
      </c>
      <c r="F35" s="30">
        <f>'Übersicht '!AM18</f>
        <v>15.1</v>
      </c>
      <c r="G35" s="57">
        <f>T8*100</f>
        <v>26.4450878510485</v>
      </c>
      <c r="H35" s="98"/>
      <c r="I35" s="94"/>
      <c r="J35" s="95"/>
      <c r="K35" s="42">
        <v>3</v>
      </c>
      <c r="L35" s="100"/>
      <c r="M35" s="100"/>
      <c r="N35" s="100">
        <f>I31</f>
        <v>23.48998175043872</v>
      </c>
      <c r="O35" s="100"/>
      <c r="P35" s="3"/>
    </row>
    <row r="36" spans="1:20" ht="12.75">
      <c r="A36" s="56">
        <v>174.759215488</v>
      </c>
      <c r="B36" s="56">
        <v>87.69583679999998</v>
      </c>
      <c r="C36" s="56">
        <v>87.06337868800001</v>
      </c>
      <c r="D36" s="57">
        <v>2</v>
      </c>
      <c r="E36" s="3"/>
      <c r="F36" s="30">
        <f>'Übersicht '!AM30</f>
        <v>16</v>
      </c>
      <c r="G36" s="99"/>
      <c r="H36" s="24"/>
      <c r="I36" s="98">
        <f>T20*100</f>
        <v>19.222690007062468</v>
      </c>
      <c r="J36" s="95"/>
      <c r="K36" s="41">
        <v>3.8</v>
      </c>
      <c r="L36" s="100">
        <f>G35</f>
        <v>26.4450878510485</v>
      </c>
      <c r="M36" s="100"/>
      <c r="N36" s="100"/>
      <c r="O36" s="100"/>
      <c r="P36" s="3"/>
      <c r="T36" s="49"/>
    </row>
    <row r="37" spans="1:16" ht="12.75">
      <c r="A37" s="56">
        <v>179.2580828133334</v>
      </c>
      <c r="B37" s="56">
        <v>110.30711755555554</v>
      </c>
      <c r="C37" s="56">
        <v>68.95096525777787</v>
      </c>
      <c r="D37" s="57">
        <v>3</v>
      </c>
      <c r="E37" s="3"/>
      <c r="F37" s="30">
        <f>'Übersicht '!AM36</f>
        <v>16.61914040114613</v>
      </c>
      <c r="G37" s="99"/>
      <c r="H37" s="99"/>
      <c r="I37" s="99"/>
      <c r="J37" s="98">
        <f>T26*100</f>
        <v>26.42857997351905</v>
      </c>
      <c r="K37" s="43">
        <v>3.9</v>
      </c>
      <c r="L37" s="100"/>
      <c r="M37" s="100">
        <f>H43</f>
        <v>25.190638639884668</v>
      </c>
      <c r="N37" s="100">
        <f>I36</f>
        <v>19.222690007062468</v>
      </c>
      <c r="O37" s="100"/>
      <c r="P37" s="3"/>
    </row>
    <row r="38" spans="1:16" ht="12.75">
      <c r="A38" s="56">
        <v>192.1489190954666</v>
      </c>
      <c r="B38" s="56">
        <v>137.15741404444447</v>
      </c>
      <c r="C38" s="56">
        <v>54.99150505102213</v>
      </c>
      <c r="D38" s="57">
        <v>4</v>
      </c>
      <c r="E38" s="3">
        <v>-6375323.08</v>
      </c>
      <c r="F38" s="101">
        <v>22</v>
      </c>
      <c r="G38" s="57">
        <f>T9*100</f>
        <v>21.156070280838797</v>
      </c>
      <c r="H38" s="99"/>
      <c r="I38" s="99"/>
      <c r="J38" s="98"/>
      <c r="K38" s="44">
        <v>4</v>
      </c>
      <c r="L38" s="100"/>
      <c r="M38" s="100"/>
      <c r="N38" s="100"/>
      <c r="O38" s="100">
        <f>J39</f>
        <v>18.053420127935897</v>
      </c>
      <c r="P38" s="3"/>
    </row>
    <row r="39" spans="1:16" ht="12.75">
      <c r="A39" s="56">
        <v>230.64739678933336</v>
      </c>
      <c r="B39" s="56">
        <v>163.99812</v>
      </c>
      <c r="C39" s="56">
        <v>66.64927678933336</v>
      </c>
      <c r="D39" s="57">
        <v>5</v>
      </c>
      <c r="E39" s="3"/>
      <c r="F39" s="30">
        <f>'Übersicht '!AM37</f>
        <v>20.219534883720932</v>
      </c>
      <c r="G39" s="99"/>
      <c r="H39" s="99"/>
      <c r="I39" s="99"/>
      <c r="J39" s="98">
        <f>T27*100</f>
        <v>18.053420127935897</v>
      </c>
      <c r="K39" s="41">
        <v>4.8</v>
      </c>
      <c r="L39" s="100">
        <f>G38</f>
        <v>21.156070280838797</v>
      </c>
      <c r="M39" s="100">
        <f>H44</f>
        <v>20.59772063049502</v>
      </c>
      <c r="N39" s="100">
        <f>I41</f>
        <v>17.58166418771067</v>
      </c>
      <c r="O39" s="100"/>
      <c r="P39" s="3"/>
    </row>
    <row r="40" spans="1:16" ht="12.75">
      <c r="A40" s="56"/>
      <c r="B40" s="56"/>
      <c r="C40" s="56"/>
      <c r="D40" s="57"/>
      <c r="E40" s="3"/>
      <c r="F40" s="30">
        <f>'Übersicht '!AM23</f>
        <v>20.29286219081272</v>
      </c>
      <c r="G40" s="99"/>
      <c r="H40" s="98">
        <f>T13*100</f>
        <v>29.464021237742642</v>
      </c>
      <c r="I40" s="94"/>
      <c r="J40" s="95"/>
      <c r="K40" s="44">
        <v>4.9</v>
      </c>
      <c r="L40" s="100"/>
      <c r="M40" s="100"/>
      <c r="N40" s="100"/>
      <c r="O40" s="100">
        <f>J42</f>
        <v>21.819666294222365</v>
      </c>
      <c r="P40" s="3"/>
    </row>
    <row r="41" spans="1:16" ht="12.75">
      <c r="A41" s="56">
        <v>98.53560930546666</v>
      </c>
      <c r="B41" s="56">
        <v>42.21752773333335</v>
      </c>
      <c r="C41" s="56">
        <v>56.318081572133316</v>
      </c>
      <c r="D41" s="57">
        <v>1</v>
      </c>
      <c r="E41" s="3"/>
      <c r="F41" s="30">
        <f>'Übersicht '!AM31</f>
        <v>23.977777777777774</v>
      </c>
      <c r="G41" s="94"/>
      <c r="H41" s="26"/>
      <c r="I41" s="98">
        <f>T21*100</f>
        <v>17.58166418771067</v>
      </c>
      <c r="J41" s="95"/>
      <c r="K41" s="3"/>
      <c r="P41" s="3"/>
    </row>
    <row r="42" spans="1:20" ht="12.75">
      <c r="A42" s="56">
        <v>162.22323054080007</v>
      </c>
      <c r="B42" s="56">
        <v>87.69583679999998</v>
      </c>
      <c r="C42" s="56">
        <v>74.5273937408001</v>
      </c>
      <c r="D42" s="57">
        <v>2</v>
      </c>
      <c r="E42" s="3"/>
      <c r="F42" s="30">
        <v>27.235</v>
      </c>
      <c r="G42" s="99"/>
      <c r="H42" s="99"/>
      <c r="I42" s="99"/>
      <c r="J42" s="98">
        <f>T28*100</f>
        <v>21.819666294222365</v>
      </c>
      <c r="K42" s="3"/>
      <c r="P42" s="3"/>
      <c r="T42" s="49"/>
    </row>
    <row r="43" spans="1:16" ht="12.75">
      <c r="A43" s="56">
        <v>186.25590678933327</v>
      </c>
      <c r="B43" s="56">
        <v>110.30711755555554</v>
      </c>
      <c r="C43" s="56">
        <v>75.94878923377773</v>
      </c>
      <c r="D43" s="57">
        <v>3</v>
      </c>
      <c r="E43" s="3"/>
      <c r="F43" s="30">
        <f>'Übersicht '!AM24</f>
        <v>29.27422053231939</v>
      </c>
      <c r="G43" s="94"/>
      <c r="H43" s="98">
        <f>T14*100</f>
        <v>25.190638639884668</v>
      </c>
      <c r="I43" s="94"/>
      <c r="J43" s="95"/>
      <c r="K43" s="3"/>
      <c r="P43" s="3"/>
    </row>
    <row r="44" spans="1:16" ht="12.75">
      <c r="A44" s="56">
        <v>221.7394475296</v>
      </c>
      <c r="B44" s="56">
        <v>137.15741404444447</v>
      </c>
      <c r="C44" s="56">
        <v>84.58203348515553</v>
      </c>
      <c r="D44" s="57">
        <v>4</v>
      </c>
      <c r="E44" s="3"/>
      <c r="F44" s="33">
        <f>'Übersicht '!AM25</f>
        <v>34.61441176470588</v>
      </c>
      <c r="G44" s="96"/>
      <c r="H44" s="98">
        <f>T15*100</f>
        <v>20.59772063049502</v>
      </c>
      <c r="I44" s="96"/>
      <c r="J44" s="97"/>
      <c r="K44" s="3"/>
      <c r="P44" s="3"/>
    </row>
    <row r="45" spans="1:16" ht="12.75">
      <c r="A45" s="56">
        <v>276.96355235119984</v>
      </c>
      <c r="B45" s="56">
        <v>163.99812</v>
      </c>
      <c r="C45" s="56">
        <v>112.96543235119984</v>
      </c>
      <c r="D45" s="57">
        <v>5</v>
      </c>
      <c r="E45" s="3"/>
      <c r="F45" s="3"/>
      <c r="G45" s="3"/>
      <c r="K45" s="3"/>
      <c r="P45" s="3"/>
    </row>
    <row r="46" spans="1:16" ht="12.75">
      <c r="A46" s="1"/>
      <c r="B46" s="3"/>
      <c r="C46" s="3"/>
      <c r="D46" s="36"/>
      <c r="E46" s="3"/>
      <c r="F46" s="3"/>
      <c r="G46" s="3"/>
      <c r="K46" s="3"/>
      <c r="P46" s="3"/>
    </row>
    <row r="47" spans="1:16" ht="12.75">
      <c r="A47" s="1"/>
      <c r="B47" s="3"/>
      <c r="C47" s="3"/>
      <c r="D47" s="36"/>
      <c r="E47" s="3"/>
      <c r="F47" s="3"/>
      <c r="G47" s="3"/>
      <c r="K47" s="3"/>
      <c r="P47" s="3"/>
    </row>
    <row r="48" spans="1:19" ht="15.75">
      <c r="A48" s="115" t="s">
        <v>84</v>
      </c>
      <c r="B48" s="115" t="s">
        <v>121</v>
      </c>
      <c r="C48" s="115" t="s">
        <v>121</v>
      </c>
      <c r="D48" s="115" t="s">
        <v>121</v>
      </c>
      <c r="E48" s="113"/>
      <c r="F48" s="3" t="s">
        <v>124</v>
      </c>
      <c r="G48" s="3"/>
      <c r="H48" s="103" t="s">
        <v>84</v>
      </c>
      <c r="I48" s="116" t="s">
        <v>126</v>
      </c>
      <c r="J48" s="116" t="s">
        <v>126</v>
      </c>
      <c r="K48" s="116" t="s">
        <v>126</v>
      </c>
      <c r="L48" s="67" t="s">
        <v>104</v>
      </c>
      <c r="M48" s="2" t="s">
        <v>56</v>
      </c>
      <c r="N48" s="84" t="s">
        <v>110</v>
      </c>
      <c r="P48" s="103" t="s">
        <v>84</v>
      </c>
      <c r="Q48" s="67" t="s">
        <v>104</v>
      </c>
      <c r="R48" s="2" t="s">
        <v>56</v>
      </c>
      <c r="S48" s="84" t="s">
        <v>110</v>
      </c>
    </row>
    <row r="49" spans="1:19" ht="12.75">
      <c r="A49" s="113" t="s">
        <v>80</v>
      </c>
      <c r="B49" s="113" t="s">
        <v>93</v>
      </c>
      <c r="C49" s="113" t="s">
        <v>93</v>
      </c>
      <c r="D49" s="113" t="s">
        <v>93</v>
      </c>
      <c r="E49" s="113"/>
      <c r="F49" s="3"/>
      <c r="G49" s="3"/>
      <c r="H49" s="103" t="s">
        <v>80</v>
      </c>
      <c r="I49" s="116" t="s">
        <v>93</v>
      </c>
      <c r="J49" s="116" t="s">
        <v>93</v>
      </c>
      <c r="K49" s="116" t="s">
        <v>93</v>
      </c>
      <c r="L49" s="1" t="s">
        <v>74</v>
      </c>
      <c r="M49" s="1" t="s">
        <v>74</v>
      </c>
      <c r="N49" s="1"/>
      <c r="P49" s="103" t="s">
        <v>80</v>
      </c>
      <c r="Q49" s="1" t="s">
        <v>74</v>
      </c>
      <c r="R49" s="1" t="s">
        <v>74</v>
      </c>
      <c r="S49" s="1"/>
    </row>
    <row r="50" spans="1:24" ht="15.75">
      <c r="A50" s="113"/>
      <c r="B50" s="115" t="s">
        <v>122</v>
      </c>
      <c r="C50" s="115" t="s">
        <v>123</v>
      </c>
      <c r="D50" s="113" t="s">
        <v>119</v>
      </c>
      <c r="E50" s="113"/>
      <c r="F50" s="3" t="s">
        <v>125</v>
      </c>
      <c r="G50" s="3"/>
      <c r="H50" s="103"/>
      <c r="I50" s="116" t="s">
        <v>127</v>
      </c>
      <c r="J50" s="116" t="s">
        <v>125</v>
      </c>
      <c r="K50" s="116" t="s">
        <v>119</v>
      </c>
      <c r="N50" s="84" t="s">
        <v>118</v>
      </c>
      <c r="P50" s="103"/>
      <c r="S50" s="84" t="s">
        <v>118</v>
      </c>
      <c r="U50" t="s">
        <v>86</v>
      </c>
      <c r="V50" t="s">
        <v>128</v>
      </c>
      <c r="W50" t="s">
        <v>129</v>
      </c>
      <c r="X50" t="s">
        <v>130</v>
      </c>
    </row>
    <row r="51" spans="1:25" ht="12.75">
      <c r="A51" s="103">
        <v>2.096525423728814</v>
      </c>
      <c r="B51" s="114">
        <v>0.00039868318843151566</v>
      </c>
      <c r="C51" s="114" t="e">
        <v>#NUM!</v>
      </c>
      <c r="D51">
        <f>'Übersicht '!AL15</f>
        <v>3.2541379142871317E-07</v>
      </c>
      <c r="E51" s="114">
        <v>0.0003238989902296125</v>
      </c>
      <c r="F51" s="3" t="e">
        <v>#NUM!</v>
      </c>
      <c r="G51" s="3"/>
      <c r="H51" s="103">
        <v>2.096525423728814</v>
      </c>
      <c r="I51" s="116">
        <v>0.00039868318843151566</v>
      </c>
      <c r="J51" s="116" t="e">
        <v>#NUM!</v>
      </c>
      <c r="K51" s="116">
        <v>0.0003238989902296125</v>
      </c>
      <c r="L51" s="6">
        <v>94.84167898648364</v>
      </c>
      <c r="M51" s="3">
        <v>408.0675178248886</v>
      </c>
      <c r="N51" s="104" t="e">
        <v>#NUM!</v>
      </c>
      <c r="P51" s="103">
        <v>2.096525423728814</v>
      </c>
      <c r="Q51" s="6">
        <v>94.84167898648364</v>
      </c>
      <c r="R51" s="3">
        <v>408.0675178248886</v>
      </c>
      <c r="S51" s="104" t="e">
        <v>#NUM!</v>
      </c>
      <c r="T51" s="103">
        <v>2.096525423728814</v>
      </c>
      <c r="U51" s="104"/>
      <c r="Y51">
        <v>1</v>
      </c>
    </row>
    <row r="52" spans="1:25" ht="12.75">
      <c r="A52" s="103">
        <v>4.4</v>
      </c>
      <c r="B52" s="114">
        <v>0.00027067695507380457</v>
      </c>
      <c r="C52" s="114">
        <v>0.0013581268970853564</v>
      </c>
      <c r="D52">
        <f>'Übersicht '!AL16</f>
        <v>4.6371987779862354E-07</v>
      </c>
      <c r="E52" s="114"/>
      <c r="F52" s="3">
        <v>463.6101975890573</v>
      </c>
      <c r="G52" s="3"/>
      <c r="H52" s="103">
        <v>4.4</v>
      </c>
      <c r="I52" s="116">
        <v>0.00027067695507380457</v>
      </c>
      <c r="J52" s="116">
        <v>0.0013581268970853564</v>
      </c>
      <c r="K52" s="116">
        <v>0.00046156126176747096</v>
      </c>
      <c r="L52" s="6">
        <v>92.72248989411321</v>
      </c>
      <c r="M52" s="3">
        <v>411.72914061693643</v>
      </c>
      <c r="N52" s="104">
        <v>463.6101975890573</v>
      </c>
      <c r="P52" s="103">
        <v>4.4</v>
      </c>
      <c r="Q52" s="6">
        <v>92.72248989411321</v>
      </c>
      <c r="R52" s="3">
        <v>411.72914061693643</v>
      </c>
      <c r="S52" s="104">
        <v>463.6101975890573</v>
      </c>
      <c r="T52" s="103">
        <v>2.7994708994708994</v>
      </c>
      <c r="W52" s="104">
        <v>161.1272234892781</v>
      </c>
      <c r="Y52">
        <v>1.1</v>
      </c>
    </row>
    <row r="53" spans="1:25" ht="12.75">
      <c r="A53" s="103">
        <v>9</v>
      </c>
      <c r="B53" s="114">
        <v>0.00016944969710895358</v>
      </c>
      <c r="C53" s="114">
        <v>0.0013128392779839261</v>
      </c>
      <c r="D53">
        <f>'Übersicht '!AL17</f>
        <v>5.936659438363901E-07</v>
      </c>
      <c r="E53" s="114"/>
      <c r="F53" s="3">
        <v>487.1204521006444</v>
      </c>
      <c r="G53" s="3"/>
      <c r="H53" s="103">
        <v>9</v>
      </c>
      <c r="I53" s="116">
        <v>0.00016944969710895358</v>
      </c>
      <c r="J53" s="116">
        <v>0.0013128392779839261</v>
      </c>
      <c r="K53" s="116">
        <v>0.0005909024288678317</v>
      </c>
      <c r="L53" s="6">
        <v>63.093812742418535</v>
      </c>
      <c r="M53" s="3">
        <v>412.5428345707249</v>
      </c>
      <c r="N53" s="104">
        <v>487.1204521006444</v>
      </c>
      <c r="P53" s="103">
        <v>9</v>
      </c>
      <c r="Q53" s="6">
        <v>63.093812742418535</v>
      </c>
      <c r="R53" s="3">
        <v>412.5428345707249</v>
      </c>
      <c r="S53" s="104">
        <v>487.1204521006444</v>
      </c>
      <c r="T53" s="103">
        <v>4.4</v>
      </c>
      <c r="U53" s="104">
        <v>463.6101975890573</v>
      </c>
      <c r="Y53">
        <v>2.1</v>
      </c>
    </row>
    <row r="54" spans="1:25" ht="12.75">
      <c r="A54" s="103">
        <v>15.1</v>
      </c>
      <c r="B54" s="114">
        <v>0.00011696689014362984</v>
      </c>
      <c r="C54" s="114">
        <v>0.0011774483779282017</v>
      </c>
      <c r="D54">
        <f>'Übersicht '!AL18</f>
        <v>6.876116723188602E-07</v>
      </c>
      <c r="E54" s="114"/>
      <c r="F54" s="3">
        <v>502.4172228619636</v>
      </c>
      <c r="G54" s="3"/>
      <c r="H54" s="103">
        <v>15.1</v>
      </c>
      <c r="I54" s="116">
        <v>0.00011696689014362984</v>
      </c>
      <c r="J54" s="116">
        <v>0.0011774483779282017</v>
      </c>
      <c r="K54" s="116">
        <v>0.000684410839984216</v>
      </c>
      <c r="L54" s="6">
        <v>50.08489403138962</v>
      </c>
      <c r="M54" s="3">
        <v>420.679774108609</v>
      </c>
      <c r="N54" s="104">
        <v>502.4172228619636</v>
      </c>
      <c r="P54" s="103">
        <v>15.1</v>
      </c>
      <c r="Q54" s="6">
        <v>50.08489403138962</v>
      </c>
      <c r="R54" s="3">
        <v>420.679774108609</v>
      </c>
      <c r="S54" s="104">
        <v>502.4172228619636</v>
      </c>
      <c r="T54" s="103">
        <v>5.6889130434782595</v>
      </c>
      <c r="X54" s="104">
        <v>123.99509688989609</v>
      </c>
      <c r="Y54">
        <v>2.2</v>
      </c>
    </row>
    <row r="55" spans="1:25" ht="12.75">
      <c r="A55" s="103">
        <v>22</v>
      </c>
      <c r="B55" s="114">
        <v>8.090383340050268E-05</v>
      </c>
      <c r="C55" s="114">
        <v>0.001004109013773698</v>
      </c>
      <c r="D55">
        <f>'Übersicht '!AL19</f>
        <v>6.930456855347539E-07</v>
      </c>
      <c r="E55" s="114"/>
      <c r="F55" s="3">
        <v>535.5666452215463</v>
      </c>
      <c r="H55" s="103">
        <v>22</v>
      </c>
      <c r="I55" s="116">
        <v>8.090383340050268E-05</v>
      </c>
      <c r="J55" s="116">
        <v>0.001004109013773698</v>
      </c>
      <c r="K55" s="116">
        <v>0.0006898195578685896</v>
      </c>
      <c r="L55" s="6">
        <v>43.30349295451942</v>
      </c>
      <c r="M55" s="3">
        <v>420.6797741086091</v>
      </c>
      <c r="N55" s="104">
        <v>535.5666452215463</v>
      </c>
      <c r="P55" s="103">
        <v>22</v>
      </c>
      <c r="Q55" s="6">
        <v>43.30349295451942</v>
      </c>
      <c r="R55" s="3">
        <v>420.6797741086091</v>
      </c>
      <c r="S55" s="104">
        <v>535.5666452215463</v>
      </c>
      <c r="T55" s="103">
        <v>6.978399999999999</v>
      </c>
      <c r="V55" s="104">
        <v>317.9563228106259</v>
      </c>
      <c r="Y55">
        <v>2.83</v>
      </c>
    </row>
    <row r="56" spans="1:25" ht="12.75">
      <c r="A56" s="103"/>
      <c r="B56" s="114"/>
      <c r="C56" s="114"/>
      <c r="E56" s="114"/>
      <c r="F56" s="3"/>
      <c r="H56" s="103"/>
      <c r="I56" s="116"/>
      <c r="J56" s="116"/>
      <c r="K56" s="116"/>
      <c r="L56" s="105"/>
      <c r="M56" s="10"/>
      <c r="N56" s="104"/>
      <c r="P56" s="103"/>
      <c r="Q56" s="105"/>
      <c r="R56" s="10"/>
      <c r="S56" s="104"/>
      <c r="T56" s="103">
        <v>8.137055449330784</v>
      </c>
      <c r="W56" s="104">
        <v>219.7054692700971</v>
      </c>
      <c r="Y56">
        <v>2.894</v>
      </c>
    </row>
    <row r="57" spans="1:25" ht="12.75">
      <c r="A57" s="103">
        <v>6.978399999999999</v>
      </c>
      <c r="B57" s="114">
        <v>0.00015886888564246363</v>
      </c>
      <c r="C57" s="114">
        <v>0.0016020766206769298</v>
      </c>
      <c r="D57">
        <f>'Übersicht '!AL21</f>
        <v>4.11156249960267E-07</v>
      </c>
      <c r="E57" s="114"/>
      <c r="F57" s="3">
        <v>317.9563228106259</v>
      </c>
      <c r="H57" s="103">
        <v>6.978399999999999</v>
      </c>
      <c r="I57" s="116">
        <v>0.00015886888564246363</v>
      </c>
      <c r="J57" s="116">
        <v>0.0016020766206769298</v>
      </c>
      <c r="K57" s="116">
        <v>0.0004092423176167019</v>
      </c>
      <c r="L57" s="6">
        <v>31.640563202024996</v>
      </c>
      <c r="M57" s="3">
        <v>413.35652852451324</v>
      </c>
      <c r="N57" s="104">
        <v>317.9563228106259</v>
      </c>
      <c r="P57" s="103">
        <v>6.978399999999999</v>
      </c>
      <c r="Q57" s="6">
        <v>31.640563202024996</v>
      </c>
      <c r="R57" s="3">
        <v>413.35652852451324</v>
      </c>
      <c r="S57" s="104">
        <v>317.9563228106259</v>
      </c>
      <c r="T57" s="103">
        <v>9</v>
      </c>
      <c r="U57" s="104">
        <v>487.1204521006444</v>
      </c>
      <c r="Y57">
        <v>3</v>
      </c>
    </row>
    <row r="58" spans="1:25" ht="12.75">
      <c r="A58" s="103">
        <v>14.436190476190477</v>
      </c>
      <c r="B58" s="114">
        <v>0.0001231049132466718</v>
      </c>
      <c r="C58" s="114">
        <v>0.0014668274152191071</v>
      </c>
      <c r="D58">
        <f>'Übersicht '!AL22</f>
        <v>6.590831029354184E-07</v>
      </c>
      <c r="E58" s="114"/>
      <c r="F58" s="3">
        <v>368.17368121999584</v>
      </c>
      <c r="H58" s="103">
        <v>14.436190476190477</v>
      </c>
      <c r="I58" s="116">
        <v>0.0001231049132466718</v>
      </c>
      <c r="J58" s="116">
        <v>0.0014668274152191071</v>
      </c>
      <c r="K58" s="116">
        <v>0.000656015071091254</v>
      </c>
      <c r="L58" s="6">
        <v>31.007751937984494</v>
      </c>
      <c r="M58" s="3">
        <v>421.49346806239737</v>
      </c>
      <c r="N58" s="104">
        <v>368.17368121999584</v>
      </c>
      <c r="P58" s="103">
        <v>14.436190476190477</v>
      </c>
      <c r="Q58" s="6">
        <v>31.007751937984494</v>
      </c>
      <c r="R58" s="3">
        <v>421.49346806239737</v>
      </c>
      <c r="S58" s="104">
        <v>368.17368121999584</v>
      </c>
      <c r="T58" s="103">
        <v>10.362951653944018</v>
      </c>
      <c r="X58" s="104">
        <v>232.61278666500164</v>
      </c>
      <c r="Y58">
        <v>3.8</v>
      </c>
    </row>
    <row r="59" spans="1:25" ht="12.75">
      <c r="A59" s="103">
        <v>20.29286219081272</v>
      </c>
      <c r="B59" s="114">
        <v>9.061684190366254E-05</v>
      </c>
      <c r="C59" s="114">
        <v>0.0011187544339589844</v>
      </c>
      <c r="D59">
        <f>'Übersicht '!AL23</f>
        <v>6.819686585946628E-07</v>
      </c>
      <c r="E59" s="114"/>
      <c r="F59" s="3">
        <v>367.2096284386913</v>
      </c>
      <c r="H59" s="103">
        <v>20.29286219081272</v>
      </c>
      <c r="I59" s="116">
        <v>9.061684190366254E-05</v>
      </c>
      <c r="J59" s="116">
        <v>0.0011187544339589844</v>
      </c>
      <c r="K59" s="116">
        <v>0.0006787940944889047</v>
      </c>
      <c r="L59" s="6">
        <v>29.847597953910242</v>
      </c>
      <c r="M59" s="3">
        <v>422.7140089930801</v>
      </c>
      <c r="N59" s="104">
        <v>367.2096284386913</v>
      </c>
      <c r="P59" s="103">
        <v>20.29286219081272</v>
      </c>
      <c r="Q59" s="6">
        <v>29.847597953910242</v>
      </c>
      <c r="R59" s="3">
        <v>422.7140089930801</v>
      </c>
      <c r="S59" s="104">
        <v>367.2096284386913</v>
      </c>
      <c r="T59" s="103">
        <v>10.905420560747663</v>
      </c>
      <c r="W59" s="104">
        <v>236.64522142168042</v>
      </c>
      <c r="Y59">
        <v>3.9</v>
      </c>
    </row>
    <row r="60" spans="1:25" ht="12.75">
      <c r="A60" s="103">
        <v>29.27422053231939</v>
      </c>
      <c r="B60" s="114">
        <v>8.097387000768976E-05</v>
      </c>
      <c r="C60" s="114">
        <v>0.00119756640592303</v>
      </c>
      <c r="D60">
        <f>'Übersicht '!AL24</f>
        <v>8.791083880520383E-07</v>
      </c>
      <c r="E60" s="114">
        <v>0.0008750161385056561</v>
      </c>
      <c r="F60" s="3">
        <v>408.80126832588553</v>
      </c>
      <c r="H60" s="103">
        <v>29.27422053231939</v>
      </c>
      <c r="I60" s="116">
        <v>8.097387000768976E-05</v>
      </c>
      <c r="J60" s="116">
        <v>0.00119756640592303</v>
      </c>
      <c r="K60" s="116">
        <v>0.0008750161385056561</v>
      </c>
      <c r="L60" s="6">
        <v>27.738227073775242</v>
      </c>
      <c r="M60" s="3">
        <v>420.2729271317148</v>
      </c>
      <c r="N60" s="104">
        <v>408.80126832588553</v>
      </c>
      <c r="P60" s="103">
        <v>29.27422053231939</v>
      </c>
      <c r="Q60" s="6">
        <v>27.738227073775242</v>
      </c>
      <c r="R60" s="3">
        <v>420.2729271317148</v>
      </c>
      <c r="S60" s="104">
        <v>408.80126832588553</v>
      </c>
      <c r="T60" s="103">
        <v>12.935197568389059</v>
      </c>
      <c r="X60" s="104">
        <v>184.84828431242417</v>
      </c>
      <c r="Y60">
        <v>4</v>
      </c>
    </row>
    <row r="61" spans="1:25" ht="12.75">
      <c r="A61" s="103">
        <v>34.61441176470588</v>
      </c>
      <c r="B61" s="114">
        <v>6.364607759691878E-05</v>
      </c>
      <c r="C61" s="114">
        <v>0.0009155099547783715</v>
      </c>
      <c r="D61">
        <f>'Übersicht '!AL25</f>
        <v>8.17035237085868E-07</v>
      </c>
      <c r="E61" s="114">
        <v>0.0008132319380572332</v>
      </c>
      <c r="F61" s="3">
        <v>411.2085238988747</v>
      </c>
      <c r="H61" s="103">
        <v>34.61441176470588</v>
      </c>
      <c r="I61" s="116">
        <v>6.364607759691878E-05</v>
      </c>
      <c r="J61" s="116">
        <v>0.0009155099547783715</v>
      </c>
      <c r="K61" s="116">
        <v>0.0008132319380572332</v>
      </c>
      <c r="L61" s="6">
        <v>28.687443969836004</v>
      </c>
      <c r="M61" s="3">
        <v>420.27292713171477</v>
      </c>
      <c r="N61" s="104">
        <v>411.2085238988747</v>
      </c>
      <c r="P61" s="103">
        <v>34.61441176470588</v>
      </c>
      <c r="Q61" s="6">
        <v>28.687443969836004</v>
      </c>
      <c r="R61" s="3">
        <v>420.27292713171477</v>
      </c>
      <c r="S61" s="104">
        <v>411.2085238988747</v>
      </c>
      <c r="T61" s="103">
        <v>14.436190476190477</v>
      </c>
      <c r="V61" s="104">
        <v>368.17368121999584</v>
      </c>
      <c r="Y61">
        <v>4.8</v>
      </c>
    </row>
    <row r="62" spans="1:25" ht="12.75">
      <c r="A62" s="103"/>
      <c r="B62" s="114"/>
      <c r="C62" s="114"/>
      <c r="E62" s="114"/>
      <c r="F62" s="3"/>
      <c r="H62" s="103"/>
      <c r="I62" s="116"/>
      <c r="J62" s="116"/>
      <c r="K62" s="116"/>
      <c r="L62" s="105"/>
      <c r="M62" s="10"/>
      <c r="N62" s="104"/>
      <c r="P62" s="103"/>
      <c r="Q62" s="105"/>
      <c r="R62" s="10"/>
      <c r="S62" s="104"/>
      <c r="T62" s="103">
        <v>15.1</v>
      </c>
      <c r="U62" s="104">
        <v>502.4172228619636</v>
      </c>
      <c r="Y62">
        <v>4.9</v>
      </c>
    </row>
    <row r="63" spans="1:23" ht="12.75">
      <c r="A63" s="103">
        <v>2.7994708994708994</v>
      </c>
      <c r="B63" s="114">
        <v>0.00017975567501601295</v>
      </c>
      <c r="C63" s="114">
        <v>0.0005852992650770589</v>
      </c>
      <c r="D63">
        <f>'Übersicht '!AL27</f>
        <v>1.9522943314473667E-07</v>
      </c>
      <c r="E63" s="114">
        <v>0.00019432064013344793</v>
      </c>
      <c r="F63" s="3">
        <v>161.1272234892781</v>
      </c>
      <c r="H63" s="103">
        <v>2.7994708994708994</v>
      </c>
      <c r="I63" s="116">
        <v>0.00017975567501601295</v>
      </c>
      <c r="J63" s="116">
        <v>0.0005852992650770589</v>
      </c>
      <c r="K63" s="116">
        <v>0.00019432064013344793</v>
      </c>
      <c r="L63" s="6">
        <v>49.48499776085983</v>
      </c>
      <c r="M63" s="3">
        <v>403.18535410215816</v>
      </c>
      <c r="N63" s="104">
        <v>161.1272234892781</v>
      </c>
      <c r="P63" s="103">
        <v>2.7994708994708994</v>
      </c>
      <c r="Q63" s="6">
        <v>49.48499776085983</v>
      </c>
      <c r="R63" s="3">
        <v>403.18535410215816</v>
      </c>
      <c r="S63" s="104">
        <v>161.1272234892781</v>
      </c>
      <c r="T63" s="103">
        <v>16</v>
      </c>
      <c r="W63" s="104">
        <v>244.17800294439067</v>
      </c>
    </row>
    <row r="64" spans="1:24" ht="12.75">
      <c r="A64" s="103">
        <v>8.137055449330784</v>
      </c>
      <c r="B64" s="114">
        <v>0.00012034334105654737</v>
      </c>
      <c r="C64" s="114">
        <v>0.0007723417012072783</v>
      </c>
      <c r="D64">
        <f>'Übersicht '!AL28</f>
        <v>3.799059239573256E-07</v>
      </c>
      <c r="E64" s="114"/>
      <c r="F64" s="3">
        <v>219.7054692700971</v>
      </c>
      <c r="H64" s="103">
        <v>8.137055449330784</v>
      </c>
      <c r="I64" s="116">
        <v>0.00012034334105654737</v>
      </c>
      <c r="J64" s="116">
        <v>0.0007723417012072783</v>
      </c>
      <c r="K64" s="116">
        <v>0.00037813746188130427</v>
      </c>
      <c r="L64" s="6">
        <v>34.233669085885836</v>
      </c>
      <c r="M64" s="3">
        <v>398.7100373563219</v>
      </c>
      <c r="N64" s="104">
        <v>219.7054692700971</v>
      </c>
      <c r="P64" s="103">
        <v>8.137055449330784</v>
      </c>
      <c r="Q64" s="6">
        <v>34.233669085885836</v>
      </c>
      <c r="R64" s="3">
        <v>398.7100373563219</v>
      </c>
      <c r="S64" s="104">
        <v>219.7054692700971</v>
      </c>
      <c r="T64" s="103">
        <v>16.61914040114613</v>
      </c>
      <c r="X64" s="104">
        <v>211.67794585521506</v>
      </c>
    </row>
    <row r="65" spans="1:24" ht="12.75">
      <c r="A65" s="103">
        <v>10.905420560747663</v>
      </c>
      <c r="B65" s="114">
        <v>7.386273896587325E-05</v>
      </c>
      <c r="C65" s="114">
        <v>0.0004991345190520565</v>
      </c>
      <c r="D65">
        <f>'Übersicht '!AL29</f>
        <v>3.12503260029413E-07</v>
      </c>
      <c r="E65" s="114"/>
      <c r="F65" s="3">
        <v>236.64522142168042</v>
      </c>
      <c r="H65" s="103">
        <v>10.905420560747663</v>
      </c>
      <c r="I65" s="116">
        <v>7.386273896587325E-05</v>
      </c>
      <c r="J65" s="116">
        <v>0.0004991345190520565</v>
      </c>
      <c r="K65" s="116">
        <v>0.00031104855735397614</v>
      </c>
      <c r="L65" s="6">
        <v>35.01914524082011</v>
      </c>
      <c r="M65" s="3">
        <v>403.18535410215816</v>
      </c>
      <c r="N65" s="104">
        <v>236.64522142168042</v>
      </c>
      <c r="P65" s="103">
        <v>10.905420560747663</v>
      </c>
      <c r="Q65" s="6">
        <v>35.01914524082011</v>
      </c>
      <c r="R65" s="3">
        <v>403.18535410215816</v>
      </c>
      <c r="S65" s="104">
        <v>236.64522142168042</v>
      </c>
      <c r="T65" s="103">
        <v>20.219534883720932</v>
      </c>
      <c r="X65" s="104">
        <v>233.37139122599564</v>
      </c>
    </row>
    <row r="66" spans="1:22" ht="12.75">
      <c r="A66" s="103">
        <v>16</v>
      </c>
      <c r="B66" s="114">
        <v>4.789860560742547E-05</v>
      </c>
      <c r="C66" s="114">
        <v>0.0003719608669178669</v>
      </c>
      <c r="D66">
        <f>'Übersicht '!AL30</f>
        <v>2.973887232698202E-07</v>
      </c>
      <c r="E66" s="114"/>
      <c r="F66" s="3">
        <v>244.17800294439067</v>
      </c>
      <c r="H66" s="103">
        <v>16</v>
      </c>
      <c r="I66" s="116">
        <v>4.789860560742547E-05</v>
      </c>
      <c r="J66" s="116">
        <v>0.0003719608669178669</v>
      </c>
      <c r="K66" s="116">
        <v>0.0002960043787629992</v>
      </c>
      <c r="L66" s="6">
        <v>31.44359232721302</v>
      </c>
      <c r="M66" s="3">
        <v>405.21958898662916</v>
      </c>
      <c r="N66" s="104">
        <v>244.17800294439067</v>
      </c>
      <c r="P66" s="103">
        <v>16</v>
      </c>
      <c r="Q66" s="6">
        <v>31.44359232721302</v>
      </c>
      <c r="R66" s="3">
        <v>405.21958898662916</v>
      </c>
      <c r="S66" s="104">
        <v>244.17800294439067</v>
      </c>
      <c r="T66" s="103">
        <v>20.29286219081272</v>
      </c>
      <c r="V66" s="104">
        <v>367.2096284386913</v>
      </c>
    </row>
    <row r="67" spans="1:21" ht="12.75">
      <c r="A67" s="103">
        <v>23.977777777777774</v>
      </c>
      <c r="B67" s="114">
        <v>4.2522847853250393E-05</v>
      </c>
      <c r="C67" s="114">
        <v>0.0004362638301369086</v>
      </c>
      <c r="D67">
        <f>'Übersicht '!AL31</f>
        <v>3.955651287082548E-07</v>
      </c>
      <c r="E67" s="114"/>
      <c r="F67" s="3">
        <v>265.9339661705983</v>
      </c>
      <c r="H67" s="103">
        <v>23.977777777777774</v>
      </c>
      <c r="I67" s="116">
        <v>4.2522847853250393E-05</v>
      </c>
      <c r="J67" s="116">
        <v>0.0004362638301369086</v>
      </c>
      <c r="K67" s="116">
        <v>0.0003937237730341179</v>
      </c>
      <c r="L67" s="6">
        <v>25.920713112831336</v>
      </c>
      <c r="M67" s="3">
        <v>337.68299082219096</v>
      </c>
      <c r="N67" s="104">
        <v>265.9339661705983</v>
      </c>
      <c r="P67" s="103">
        <v>23.977777777777774</v>
      </c>
      <c r="Q67" s="6">
        <v>25.920713112831336</v>
      </c>
      <c r="R67" s="3">
        <v>337.68299082219096</v>
      </c>
      <c r="S67" s="104">
        <v>265.9339661705983</v>
      </c>
      <c r="T67" s="103">
        <v>22</v>
      </c>
      <c r="U67" s="104">
        <v>535.5666452215463</v>
      </c>
    </row>
    <row r="68" spans="1:23" ht="12.75">
      <c r="A68" s="103"/>
      <c r="B68" s="114"/>
      <c r="C68" s="114"/>
      <c r="E68" s="114"/>
      <c r="F68" s="3"/>
      <c r="H68" s="103"/>
      <c r="I68" s="116"/>
      <c r="J68" s="116"/>
      <c r="K68" s="116"/>
      <c r="L68" s="105"/>
      <c r="M68" s="10"/>
      <c r="N68" s="104"/>
      <c r="P68" s="103"/>
      <c r="Q68" s="105"/>
      <c r="R68" s="10"/>
      <c r="S68" s="104"/>
      <c r="T68" s="103">
        <v>23.977777777777774</v>
      </c>
      <c r="W68" s="104">
        <v>274</v>
      </c>
    </row>
    <row r="69" spans="1:24" ht="12.75">
      <c r="A69" s="103">
        <v>5.6889130434782595</v>
      </c>
      <c r="B69" s="114">
        <v>0.00011555992673539296</v>
      </c>
      <c r="C69" s="114">
        <v>0.0005666520715615126</v>
      </c>
      <c r="D69">
        <f>'Übersicht '!AL33</f>
        <v>2.429559658856122E-07</v>
      </c>
      <c r="E69" s="114">
        <v>0.0002418250058644147</v>
      </c>
      <c r="F69" s="3">
        <v>123.99509688989609</v>
      </c>
      <c r="H69" s="103">
        <v>5.6889130434782595</v>
      </c>
      <c r="I69" s="116">
        <v>0.00011555992673539296</v>
      </c>
      <c r="J69" s="116">
        <v>0.0005666520715615126</v>
      </c>
      <c r="K69" s="116">
        <v>0.0002418250058644147</v>
      </c>
      <c r="L69" s="6">
        <v>25.28688242973957</v>
      </c>
      <c r="M69" s="3">
        <v>411.72914061693643</v>
      </c>
      <c r="N69" s="104">
        <v>123.99509688989609</v>
      </c>
      <c r="P69" s="103">
        <v>5.6889130434782595</v>
      </c>
      <c r="Q69" s="6">
        <v>25.28688242973957</v>
      </c>
      <c r="R69" s="3">
        <v>411.72914061693643</v>
      </c>
      <c r="S69" s="104">
        <v>123.99509688989609</v>
      </c>
      <c r="T69" s="103">
        <v>27.235</v>
      </c>
      <c r="X69" s="104"/>
    </row>
    <row r="70" spans="1:22" ht="12.75">
      <c r="A70" s="103">
        <v>10.362951653944018</v>
      </c>
      <c r="B70" s="114">
        <v>0.00012024609433294021</v>
      </c>
      <c r="C70" s="114">
        <v>0.0010357728958600963</v>
      </c>
      <c r="D70">
        <f>'Übersicht '!AL34</f>
        <v>4.605167866751522E-07</v>
      </c>
      <c r="E70" s="114"/>
      <c r="F70" s="3">
        <v>232.61278666500164</v>
      </c>
      <c r="H70" s="103">
        <v>10.362951653944018</v>
      </c>
      <c r="I70" s="116">
        <v>0.00012024609433294021</v>
      </c>
      <c r="J70" s="116">
        <v>0.0010357728958600963</v>
      </c>
      <c r="K70" s="116">
        <v>0.0004583730810331794</v>
      </c>
      <c r="L70" s="6">
        <v>27.004741290455573</v>
      </c>
      <c r="M70" s="3">
        <v>397.8963434025335</v>
      </c>
      <c r="N70" s="104">
        <v>232.61278666500164</v>
      </c>
      <c r="P70" s="103">
        <v>10.362951653944018</v>
      </c>
      <c r="Q70" s="6">
        <v>27.004741290455573</v>
      </c>
      <c r="R70" s="3">
        <v>397.8963434025335</v>
      </c>
      <c r="S70" s="104">
        <v>232.61278666500164</v>
      </c>
      <c r="T70" s="103">
        <v>29.27422053231939</v>
      </c>
      <c r="V70" s="104">
        <v>408.80126832588553</v>
      </c>
    </row>
    <row r="71" spans="1:22" ht="12.75">
      <c r="A71" s="103">
        <v>12.935197568389059</v>
      </c>
      <c r="B71" s="114">
        <v>7.682255162920735E-05</v>
      </c>
      <c r="C71" s="114">
        <v>0.000628146267290872</v>
      </c>
      <c r="D71">
        <f>'Übersicht '!AL35</f>
        <v>3.672423931587481E-07</v>
      </c>
      <c r="E71" s="114"/>
      <c r="F71" s="3">
        <v>184.84828431242417</v>
      </c>
      <c r="H71" s="103">
        <v>12.935197568389059</v>
      </c>
      <c r="I71" s="116">
        <v>7.682255162920735E-05</v>
      </c>
      <c r="J71" s="116">
        <v>0.000628146267290872</v>
      </c>
      <c r="K71" s="116">
        <v>0.0003655328798185942</v>
      </c>
      <c r="L71" s="6">
        <v>22.607022607022603</v>
      </c>
      <c r="M71" s="3">
        <v>377.147147580929</v>
      </c>
      <c r="N71" s="104">
        <v>184.84828431242417</v>
      </c>
      <c r="P71" s="103">
        <v>12.935197568389059</v>
      </c>
      <c r="Q71" s="6">
        <v>22.607022607022603</v>
      </c>
      <c r="R71" s="3">
        <v>377.147147580929</v>
      </c>
      <c r="S71" s="104">
        <v>184.84828431242417</v>
      </c>
      <c r="T71" s="103">
        <v>34.61441176470588</v>
      </c>
      <c r="V71" s="104">
        <v>411.2085238988747</v>
      </c>
    </row>
    <row r="72" spans="1:20" ht="12.75">
      <c r="A72" s="103">
        <v>16.61914040114613</v>
      </c>
      <c r="B72" s="114">
        <v>6.182198421644E-05</v>
      </c>
      <c r="C72" s="114">
        <v>0.0005456895721601512</v>
      </c>
      <c r="D72">
        <f>'Übersicht '!AL36</f>
        <v>3.797016734605741E-07</v>
      </c>
      <c r="E72" s="114"/>
      <c r="F72" s="3">
        <v>211.67794585521506</v>
      </c>
      <c r="H72" s="103">
        <v>16.61914040114613</v>
      </c>
      <c r="I72" s="116">
        <v>6.182198421644E-05</v>
      </c>
      <c r="J72" s="116">
        <v>0.0005456895721601512</v>
      </c>
      <c r="K72" s="116">
        <v>0.00037793416217061517</v>
      </c>
      <c r="L72" s="6">
        <v>23.981309695595414</v>
      </c>
      <c r="M72" s="3">
        <v>374.7060657195637</v>
      </c>
      <c r="N72" s="104">
        <v>211.67794585521506</v>
      </c>
      <c r="P72" s="103">
        <v>16.61914040114613</v>
      </c>
      <c r="Q72" s="6">
        <v>23.981309695595414</v>
      </c>
      <c r="R72" s="3">
        <v>374.7060657195637</v>
      </c>
      <c r="S72" s="104">
        <v>211.67794585521506</v>
      </c>
      <c r="T72" s="103"/>
    </row>
    <row r="73" spans="1:20" ht="12.75">
      <c r="A73" s="103">
        <v>20.219534883720932</v>
      </c>
      <c r="B73" s="114">
        <v>5.9205138049424776E-05</v>
      </c>
      <c r="C73" s="114">
        <v>0.0005195753964487835</v>
      </c>
      <c r="D73">
        <f>'Übersicht '!AL37</f>
        <v>4.4240657596320825E-07</v>
      </c>
      <c r="E73" s="114"/>
      <c r="F73" s="3">
        <v>233.37139122599564</v>
      </c>
      <c r="H73" s="103">
        <v>20.219534883720932</v>
      </c>
      <c r="I73" s="116">
        <v>5.9205138049424776E-05</v>
      </c>
      <c r="J73" s="116">
        <v>0.0005195753964487835</v>
      </c>
      <c r="K73" s="116">
        <v>0.00044034717335209955</v>
      </c>
      <c r="L73" s="6">
        <v>26.59245516388373</v>
      </c>
      <c r="M73" s="3">
        <v>378.36768851161156</v>
      </c>
      <c r="N73" s="104">
        <v>233.37139122599564</v>
      </c>
      <c r="P73" s="103">
        <v>20.219534883720932</v>
      </c>
      <c r="Q73" s="6">
        <v>26.59245516388373</v>
      </c>
      <c r="R73" s="3">
        <v>378.36768851161156</v>
      </c>
      <c r="S73" s="104">
        <v>233.37139122599564</v>
      </c>
      <c r="T73" s="103"/>
    </row>
    <row r="74" spans="1:20" ht="12.75">
      <c r="A74" s="103">
        <v>27.235</v>
      </c>
      <c r="B74" s="114">
        <v>5.951915958946655E-05</v>
      </c>
      <c r="C74" s="114">
        <v>0.0006916786028858598</v>
      </c>
      <c r="D74">
        <f>'Übersicht '!AL38</f>
        <v>5.990667069714168E-07</v>
      </c>
      <c r="E74" s="114"/>
      <c r="F74" s="3">
        <v>281.0850093822823</v>
      </c>
      <c r="H74" s="103">
        <v>27.235</v>
      </c>
      <c r="I74" s="116">
        <v>5.951915958946655E-05</v>
      </c>
      <c r="J74" s="116">
        <v>0.0006916786028858598</v>
      </c>
      <c r="K74" s="116">
        <v>0.000596278051450465</v>
      </c>
      <c r="L74" s="6">
        <v>24.18745275888132</v>
      </c>
      <c r="M74" s="3">
        <v>381.62246432676517</v>
      </c>
      <c r="N74" s="104">
        <v>281.0850093822823</v>
      </c>
      <c r="P74" s="103">
        <v>27.235</v>
      </c>
      <c r="Q74" s="6">
        <v>24.18745275888132</v>
      </c>
      <c r="R74" s="3">
        <v>381.62246432676517</v>
      </c>
      <c r="S74" s="104">
        <v>281.0850093822823</v>
      </c>
      <c r="T74" s="103"/>
    </row>
    <row r="75" spans="6:14" ht="12.75">
      <c r="F75" s="3"/>
      <c r="L75" s="105"/>
      <c r="M75" s="10"/>
      <c r="N75" s="104"/>
    </row>
    <row r="77" spans="2:33" ht="12.75">
      <c r="B77" t="s">
        <v>86</v>
      </c>
      <c r="C77" t="s">
        <v>128</v>
      </c>
      <c r="D77" t="s">
        <v>129</v>
      </c>
      <c r="E77" t="s">
        <v>130</v>
      </c>
      <c r="V77" s="140" t="s">
        <v>121</v>
      </c>
      <c r="W77" s="140" t="s">
        <v>121</v>
      </c>
      <c r="X77" s="140" t="s">
        <v>121</v>
      </c>
      <c r="Y77" s="140" t="s">
        <v>121</v>
      </c>
      <c r="Z77" s="140" t="s">
        <v>121</v>
      </c>
      <c r="AA77" s="140" t="s">
        <v>121</v>
      </c>
      <c r="AB77" s="140" t="s">
        <v>121</v>
      </c>
      <c r="AC77" s="140" t="s">
        <v>121</v>
      </c>
      <c r="AD77" s="140" t="s">
        <v>121</v>
      </c>
      <c r="AE77" s="140" t="s">
        <v>121</v>
      </c>
      <c r="AF77" s="140" t="s">
        <v>121</v>
      </c>
      <c r="AG77" s="140" t="s">
        <v>121</v>
      </c>
    </row>
    <row r="78" spans="1:33" ht="12.75">
      <c r="A78" s="103">
        <v>1</v>
      </c>
      <c r="B78" s="104"/>
      <c r="C78" s="104">
        <v>317.9563228106259</v>
      </c>
      <c r="D78" s="104">
        <v>161.1272234892781</v>
      </c>
      <c r="E78" s="104">
        <v>123.99509688989609</v>
      </c>
      <c r="F78">
        <v>1</v>
      </c>
      <c r="H78" s="139" t="s">
        <v>84</v>
      </c>
      <c r="I78" s="140" t="s">
        <v>121</v>
      </c>
      <c r="J78" s="140" t="s">
        <v>121</v>
      </c>
      <c r="K78" s="140" t="s">
        <v>121</v>
      </c>
      <c r="L78" s="140" t="s">
        <v>121</v>
      </c>
      <c r="M78" s="140" t="s">
        <v>121</v>
      </c>
      <c r="N78" s="140" t="s">
        <v>121</v>
      </c>
      <c r="O78" s="140" t="s">
        <v>121</v>
      </c>
      <c r="P78" s="140" t="s">
        <v>121</v>
      </c>
      <c r="Q78" s="140" t="s">
        <v>121</v>
      </c>
      <c r="R78" s="140" t="s">
        <v>121</v>
      </c>
      <c r="S78" s="140" t="s">
        <v>121</v>
      </c>
      <c r="T78" s="140" t="s">
        <v>121</v>
      </c>
      <c r="U78" s="1" t="s">
        <v>85</v>
      </c>
      <c r="V78" s="141" t="s">
        <v>93</v>
      </c>
      <c r="W78" s="141" t="s">
        <v>93</v>
      </c>
      <c r="X78" s="141" t="s">
        <v>93</v>
      </c>
      <c r="Y78" s="141" t="s">
        <v>93</v>
      </c>
      <c r="Z78" s="141" t="s">
        <v>93</v>
      </c>
      <c r="AA78" s="141" t="s">
        <v>93</v>
      </c>
      <c r="AB78" s="141" t="s">
        <v>93</v>
      </c>
      <c r="AC78" s="141" t="s">
        <v>93</v>
      </c>
      <c r="AD78" s="141" t="s">
        <v>93</v>
      </c>
      <c r="AE78" s="141" t="s">
        <v>93</v>
      </c>
      <c r="AF78" s="141" t="s">
        <v>93</v>
      </c>
      <c r="AG78" s="141" t="s">
        <v>93</v>
      </c>
    </row>
    <row r="79" spans="1:33" ht="16.5" thickBot="1">
      <c r="A79" s="103">
        <v>2</v>
      </c>
      <c r="B79" s="104">
        <v>463.6101975890573</v>
      </c>
      <c r="C79" s="104">
        <v>368.17368121999584</v>
      </c>
      <c r="D79" s="104">
        <v>219.7054692700971</v>
      </c>
      <c r="E79" s="104">
        <v>184.84828431242417</v>
      </c>
      <c r="F79">
        <v>2.1</v>
      </c>
      <c r="H79" s="134" t="s">
        <v>80</v>
      </c>
      <c r="I79" s="141" t="s">
        <v>93</v>
      </c>
      <c r="J79" s="141" t="s">
        <v>93</v>
      </c>
      <c r="K79" s="141" t="s">
        <v>93</v>
      </c>
      <c r="L79" s="141" t="s">
        <v>93</v>
      </c>
      <c r="M79" s="141" t="s">
        <v>93</v>
      </c>
      <c r="N79" s="141" t="s">
        <v>93</v>
      </c>
      <c r="O79" s="141" t="s">
        <v>93</v>
      </c>
      <c r="P79" s="141" t="s">
        <v>93</v>
      </c>
      <c r="Q79" s="141" t="s">
        <v>93</v>
      </c>
      <c r="R79" s="141" t="s">
        <v>93</v>
      </c>
      <c r="S79" s="141" t="s">
        <v>93</v>
      </c>
      <c r="T79" s="141" t="s">
        <v>93</v>
      </c>
      <c r="U79" s="1" t="s">
        <v>83</v>
      </c>
      <c r="V79" s="143" t="s">
        <v>131</v>
      </c>
      <c r="W79" s="143" t="s">
        <v>132</v>
      </c>
      <c r="X79" s="144" t="s">
        <v>119</v>
      </c>
      <c r="Y79" s="143" t="s">
        <v>131</v>
      </c>
      <c r="Z79" s="143" t="s">
        <v>132</v>
      </c>
      <c r="AA79" s="144" t="s">
        <v>119</v>
      </c>
      <c r="AB79" s="143" t="s">
        <v>131</v>
      </c>
      <c r="AC79" s="143" t="s">
        <v>132</v>
      </c>
      <c r="AD79" s="144" t="s">
        <v>119</v>
      </c>
      <c r="AE79" s="143" t="s">
        <v>131</v>
      </c>
      <c r="AF79" s="143" t="s">
        <v>132</v>
      </c>
      <c r="AG79" s="144" t="s">
        <v>119</v>
      </c>
    </row>
    <row r="80" spans="1:33" ht="17.25" thickBot="1" thickTop="1">
      <c r="A80" s="103">
        <v>3</v>
      </c>
      <c r="B80" s="104">
        <v>487.1204521006444</v>
      </c>
      <c r="C80" s="104">
        <v>367.2096284386913</v>
      </c>
      <c r="D80" s="104">
        <v>236.64522142168042</v>
      </c>
      <c r="E80" s="104">
        <v>211.67794585521506</v>
      </c>
      <c r="F80">
        <v>3</v>
      </c>
      <c r="H80" s="142"/>
      <c r="I80" s="143" t="s">
        <v>131</v>
      </c>
      <c r="J80" s="143" t="s">
        <v>132</v>
      </c>
      <c r="K80" s="144" t="s">
        <v>119</v>
      </c>
      <c r="L80" s="143" t="s">
        <v>131</v>
      </c>
      <c r="M80" s="143" t="s">
        <v>132</v>
      </c>
      <c r="N80" s="144" t="s">
        <v>119</v>
      </c>
      <c r="O80" s="143" t="s">
        <v>131</v>
      </c>
      <c r="P80" s="143" t="s">
        <v>132</v>
      </c>
      <c r="Q80" s="144" t="s">
        <v>119</v>
      </c>
      <c r="R80" s="143" t="s">
        <v>131</v>
      </c>
      <c r="S80" s="143" t="s">
        <v>132</v>
      </c>
      <c r="T80" s="144" t="s">
        <v>119</v>
      </c>
      <c r="U80" s="1"/>
      <c r="V80" s="163" t="s">
        <v>86</v>
      </c>
      <c r="W80" s="163" t="s">
        <v>86</v>
      </c>
      <c r="X80" s="163" t="s">
        <v>86</v>
      </c>
      <c r="Y80" s="124" t="s">
        <v>128</v>
      </c>
      <c r="Z80" s="124" t="s">
        <v>128</v>
      </c>
      <c r="AA80" s="124" t="s">
        <v>128</v>
      </c>
      <c r="AB80" s="106" t="s">
        <v>129</v>
      </c>
      <c r="AC80" s="106" t="s">
        <v>129</v>
      </c>
      <c r="AD80" s="106" t="s">
        <v>129</v>
      </c>
      <c r="AE80" s="164" t="s">
        <v>130</v>
      </c>
      <c r="AF80" s="164" t="s">
        <v>130</v>
      </c>
      <c r="AG80" s="164" t="s">
        <v>130</v>
      </c>
    </row>
    <row r="81" spans="1:33" ht="13.5" thickTop="1">
      <c r="A81" s="103">
        <v>4</v>
      </c>
      <c r="B81" s="104">
        <v>502.4172228619636</v>
      </c>
      <c r="C81" s="104">
        <v>408.80126832588553</v>
      </c>
      <c r="D81" s="104">
        <v>244.17800294439067</v>
      </c>
      <c r="E81" s="104">
        <v>233.37139122599564</v>
      </c>
      <c r="F81">
        <v>4.9</v>
      </c>
      <c r="H81" s="134"/>
      <c r="I81" s="249" t="s">
        <v>86</v>
      </c>
      <c r="J81" s="249"/>
      <c r="K81" s="249"/>
      <c r="L81" s="253" t="s">
        <v>128</v>
      </c>
      <c r="M81" s="254"/>
      <c r="N81" s="255"/>
      <c r="O81" s="256" t="s">
        <v>129</v>
      </c>
      <c r="P81" s="256"/>
      <c r="Q81" s="256"/>
      <c r="R81" s="250" t="s">
        <v>130</v>
      </c>
      <c r="S81" s="251"/>
      <c r="T81" s="252"/>
      <c r="U81" s="108">
        <v>1</v>
      </c>
      <c r="V81" s="151">
        <v>0.00039868318843151566</v>
      </c>
      <c r="W81" s="152"/>
      <c r="X81" s="159">
        <v>0.0003238989902296125</v>
      </c>
      <c r="Y81" s="151"/>
      <c r="Z81" s="152"/>
      <c r="AA81" s="159"/>
      <c r="AB81" s="145"/>
      <c r="AC81" s="145"/>
      <c r="AD81" s="145"/>
      <c r="AE81" s="151"/>
      <c r="AF81" s="152"/>
      <c r="AG81" s="159"/>
    </row>
    <row r="82" spans="1:33" ht="12.75">
      <c r="A82" s="103">
        <v>5</v>
      </c>
      <c r="B82" s="104">
        <v>535.5666452215463</v>
      </c>
      <c r="C82" s="104">
        <v>411.2085238988747</v>
      </c>
      <c r="D82" s="104">
        <v>265.9339661705983</v>
      </c>
      <c r="E82" s="104"/>
      <c r="H82" s="135">
        <v>2.096525423728814</v>
      </c>
      <c r="I82" s="117"/>
      <c r="J82" s="117"/>
      <c r="K82" s="117">
        <v>0.0003238989902296125</v>
      </c>
      <c r="L82" s="125"/>
      <c r="M82" s="126"/>
      <c r="N82" s="121"/>
      <c r="O82" s="117"/>
      <c r="P82" s="117"/>
      <c r="Q82" s="117"/>
      <c r="R82" s="125"/>
      <c r="S82" s="126"/>
      <c r="T82" s="121"/>
      <c r="U82" s="146">
        <v>1.1</v>
      </c>
      <c r="V82" s="153"/>
      <c r="W82" s="154"/>
      <c r="X82" s="160"/>
      <c r="Y82" s="153">
        <v>0.00015886888564246363</v>
      </c>
      <c r="Z82" s="154">
        <v>0.0016020766206769298</v>
      </c>
      <c r="AA82" s="160">
        <v>0.0004092423176167019</v>
      </c>
      <c r="AB82" s="147"/>
      <c r="AC82" s="147"/>
      <c r="AD82" s="147"/>
      <c r="AE82" s="153"/>
      <c r="AF82" s="154"/>
      <c r="AG82" s="160"/>
    </row>
    <row r="83" spans="1:33" ht="12.75">
      <c r="A83" s="103"/>
      <c r="H83" s="136">
        <v>2.7994708994708994</v>
      </c>
      <c r="I83" s="119"/>
      <c r="J83" s="119"/>
      <c r="K83" s="119"/>
      <c r="L83" s="127"/>
      <c r="M83" s="128"/>
      <c r="N83" s="122"/>
      <c r="O83" s="119">
        <v>0.00017975567501601295</v>
      </c>
      <c r="P83" s="119">
        <v>0.0005852992650770589</v>
      </c>
      <c r="Q83" s="119">
        <v>0.00019432064013344793</v>
      </c>
      <c r="R83" s="127"/>
      <c r="S83" s="128"/>
      <c r="T83" s="122"/>
      <c r="U83" s="8">
        <v>1.1</v>
      </c>
      <c r="V83" s="155"/>
      <c r="W83" s="156"/>
      <c r="X83" s="161"/>
      <c r="Y83" s="155"/>
      <c r="Z83" s="156"/>
      <c r="AA83" s="161"/>
      <c r="AB83" s="52">
        <v>0.00017975567501601295</v>
      </c>
      <c r="AC83" s="52">
        <v>0.0005852992650770589</v>
      </c>
      <c r="AD83" s="52">
        <v>0.00019432064013344793</v>
      </c>
      <c r="AE83" s="155"/>
      <c r="AF83" s="156"/>
      <c r="AG83" s="161"/>
    </row>
    <row r="84" spans="1:33" ht="12.75">
      <c r="A84" s="103"/>
      <c r="H84" s="135">
        <v>4.4</v>
      </c>
      <c r="I84" s="117">
        <v>0.00027067695507380457</v>
      </c>
      <c r="J84" s="117">
        <v>0.0013581268970853564</v>
      </c>
      <c r="K84" s="117">
        <v>0.00046156126176747096</v>
      </c>
      <c r="L84" s="125"/>
      <c r="M84" s="126"/>
      <c r="N84" s="121"/>
      <c r="O84" s="117"/>
      <c r="P84" s="117"/>
      <c r="Q84" s="117"/>
      <c r="R84" s="125"/>
      <c r="S84" s="126"/>
      <c r="T84" s="121"/>
      <c r="U84" s="148">
        <v>1.1</v>
      </c>
      <c r="V84" s="157"/>
      <c r="W84" s="158"/>
      <c r="X84" s="162"/>
      <c r="Y84" s="157"/>
      <c r="Z84" s="158"/>
      <c r="AA84" s="162"/>
      <c r="AB84" s="149"/>
      <c r="AC84" s="149"/>
      <c r="AD84" s="149"/>
      <c r="AE84" s="157">
        <v>0.00011555992673539296</v>
      </c>
      <c r="AF84" s="158">
        <v>0.0005666520715615126</v>
      </c>
      <c r="AG84" s="162">
        <v>0.0002418250058644147</v>
      </c>
    </row>
    <row r="85" spans="1:33" ht="12.75">
      <c r="A85" s="115" t="s">
        <v>84</v>
      </c>
      <c r="B85" s="115" t="s">
        <v>121</v>
      </c>
      <c r="C85" s="115" t="s">
        <v>121</v>
      </c>
      <c r="D85" s="115" t="s">
        <v>121</v>
      </c>
      <c r="H85" s="137">
        <v>5.6889130434782595</v>
      </c>
      <c r="I85" s="120"/>
      <c r="J85" s="120"/>
      <c r="K85" s="120"/>
      <c r="L85" s="129"/>
      <c r="M85" s="130"/>
      <c r="N85" s="123"/>
      <c r="O85" s="120"/>
      <c r="P85" s="120"/>
      <c r="Q85" s="120"/>
      <c r="R85" s="129">
        <v>0.00011555992673539296</v>
      </c>
      <c r="S85" s="130">
        <v>0.0005666520715615126</v>
      </c>
      <c r="T85" s="123">
        <v>0.0002418250058644147</v>
      </c>
      <c r="U85" s="108">
        <v>2.1</v>
      </c>
      <c r="V85" s="151">
        <v>0.00027067695507380457</v>
      </c>
      <c r="W85" s="152">
        <v>0.0013581268970853564</v>
      </c>
      <c r="X85" s="159">
        <v>0.00046156126176747096</v>
      </c>
      <c r="Y85" s="151"/>
      <c r="Z85" s="152"/>
      <c r="AA85" s="159"/>
      <c r="AB85" s="145"/>
      <c r="AC85" s="145"/>
      <c r="AD85" s="145"/>
      <c r="AE85" s="151"/>
      <c r="AF85" s="152"/>
      <c r="AG85" s="159"/>
    </row>
    <row r="86" spans="1:33" ht="12.75">
      <c r="A86" s="113" t="s">
        <v>80</v>
      </c>
      <c r="B86" s="113" t="s">
        <v>93</v>
      </c>
      <c r="C86" s="113" t="s">
        <v>93</v>
      </c>
      <c r="D86" s="113" t="s">
        <v>93</v>
      </c>
      <c r="H86" s="138">
        <v>6.978399999999999</v>
      </c>
      <c r="I86" s="118"/>
      <c r="J86" s="118"/>
      <c r="K86" s="118"/>
      <c r="L86" s="131">
        <v>0.00015886888564246363</v>
      </c>
      <c r="M86" s="132">
        <v>0.0016020766206769298</v>
      </c>
      <c r="N86" s="133">
        <v>0.0004092423176167019</v>
      </c>
      <c r="O86" s="118"/>
      <c r="P86" s="118"/>
      <c r="Q86" s="118"/>
      <c r="R86" s="131"/>
      <c r="S86" s="132"/>
      <c r="T86" s="133"/>
      <c r="U86" s="146">
        <v>2.1</v>
      </c>
      <c r="V86" s="153"/>
      <c r="W86" s="154"/>
      <c r="X86" s="160"/>
      <c r="Y86" s="153">
        <v>0.0001231049132466718</v>
      </c>
      <c r="Z86" s="154">
        <v>0.0014668274152191071</v>
      </c>
      <c r="AA86" s="160">
        <v>0.000656015071091254</v>
      </c>
      <c r="AB86" s="147"/>
      <c r="AC86" s="147"/>
      <c r="AD86" s="147"/>
      <c r="AE86" s="153"/>
      <c r="AF86" s="154"/>
      <c r="AG86" s="160"/>
    </row>
    <row r="87" spans="1:33" ht="12.75">
      <c r="A87" s="113"/>
      <c r="B87" s="115" t="s">
        <v>122</v>
      </c>
      <c r="C87" s="115" t="s">
        <v>123</v>
      </c>
      <c r="D87" s="113" t="s">
        <v>119</v>
      </c>
      <c r="H87" s="136">
        <v>8.137055449330784</v>
      </c>
      <c r="I87" s="119"/>
      <c r="J87" s="119"/>
      <c r="K87" s="119"/>
      <c r="L87" s="127"/>
      <c r="M87" s="128"/>
      <c r="N87" s="122"/>
      <c r="O87" s="119">
        <v>0.00012034334105654737</v>
      </c>
      <c r="P87" s="119">
        <v>0.0007723417012072783</v>
      </c>
      <c r="Q87" s="119">
        <v>0.00037813746188130427</v>
      </c>
      <c r="R87" s="127"/>
      <c r="S87" s="128"/>
      <c r="T87" s="122"/>
      <c r="U87" s="148">
        <v>2.1</v>
      </c>
      <c r="V87" s="157"/>
      <c r="W87" s="158"/>
      <c r="X87" s="162"/>
      <c r="Y87" s="157"/>
      <c r="Z87" s="158"/>
      <c r="AA87" s="162"/>
      <c r="AB87" s="149"/>
      <c r="AC87" s="149"/>
      <c r="AD87" s="149"/>
      <c r="AE87" s="157">
        <v>0.00012024609433294021</v>
      </c>
      <c r="AF87" s="158">
        <v>0.0010357728958600963</v>
      </c>
      <c r="AG87" s="162">
        <v>0.0004583730810331794</v>
      </c>
    </row>
    <row r="88" spans="1:33" ht="12.75">
      <c r="A88" s="103">
        <v>1</v>
      </c>
      <c r="B88" s="114">
        <v>0.00039868318843151566</v>
      </c>
      <c r="C88" s="114"/>
      <c r="E88">
        <v>1</v>
      </c>
      <c r="H88" s="135">
        <v>9</v>
      </c>
      <c r="I88" s="117">
        <v>0.00016944969710895358</v>
      </c>
      <c r="J88" s="117">
        <v>0.0013128392779839261</v>
      </c>
      <c r="K88" s="117">
        <v>0.0005909024288678317</v>
      </c>
      <c r="L88" s="125"/>
      <c r="M88" s="126"/>
      <c r="N88" s="121"/>
      <c r="O88" s="117"/>
      <c r="P88" s="117"/>
      <c r="Q88" s="117"/>
      <c r="R88" s="125"/>
      <c r="S88" s="126"/>
      <c r="T88" s="121"/>
      <c r="U88" s="8">
        <v>2.2</v>
      </c>
      <c r="V88" s="155"/>
      <c r="W88" s="156"/>
      <c r="X88" s="161"/>
      <c r="Y88" s="155"/>
      <c r="Z88" s="156"/>
      <c r="AA88" s="161"/>
      <c r="AB88" s="52">
        <v>0.00012034334105654737</v>
      </c>
      <c r="AC88" s="52">
        <v>0.0007723417012072783</v>
      </c>
      <c r="AD88" s="52">
        <v>0.00037813746188130427</v>
      </c>
      <c r="AE88" s="155"/>
      <c r="AF88" s="156"/>
      <c r="AG88" s="161"/>
    </row>
    <row r="89" spans="1:33" ht="12.75">
      <c r="A89" s="103">
        <v>2.1</v>
      </c>
      <c r="B89" s="114">
        <v>0.00027067695507380457</v>
      </c>
      <c r="C89" s="114">
        <v>0.0013581268970853564</v>
      </c>
      <c r="D89" s="114">
        <v>0.00046156126176747096</v>
      </c>
      <c r="E89">
        <v>1.1</v>
      </c>
      <c r="H89" s="137">
        <v>10.362951653944018</v>
      </c>
      <c r="I89" s="120"/>
      <c r="J89" s="120"/>
      <c r="K89" s="120"/>
      <c r="L89" s="129"/>
      <c r="M89" s="130"/>
      <c r="N89" s="123"/>
      <c r="O89" s="120"/>
      <c r="P89" s="120"/>
      <c r="Q89" s="120"/>
      <c r="R89" s="129">
        <v>0.00012024609433294021</v>
      </c>
      <c r="S89" s="130">
        <v>0.0010357728958600963</v>
      </c>
      <c r="T89" s="123">
        <v>0.0004583730810331794</v>
      </c>
      <c r="U89" s="148">
        <v>2.2</v>
      </c>
      <c r="V89" s="157"/>
      <c r="W89" s="158"/>
      <c r="X89" s="162"/>
      <c r="Y89" s="157"/>
      <c r="Z89" s="158"/>
      <c r="AA89" s="162"/>
      <c r="AB89" s="149"/>
      <c r="AC89" s="149"/>
      <c r="AD89" s="149"/>
      <c r="AE89" s="157">
        <v>7.682255162920735E-05</v>
      </c>
      <c r="AF89" s="158">
        <v>0.000628146267290872</v>
      </c>
      <c r="AG89" s="162">
        <v>0.0003655328798185942</v>
      </c>
    </row>
    <row r="90" spans="1:33" ht="12.75">
      <c r="A90" s="103">
        <v>2.83</v>
      </c>
      <c r="B90" s="114">
        <v>0.00016944969710895358</v>
      </c>
      <c r="C90" s="114">
        <v>0.0013128392779839261</v>
      </c>
      <c r="D90" s="114">
        <v>0.0005909024288678317</v>
      </c>
      <c r="E90">
        <v>1.1</v>
      </c>
      <c r="H90" s="136">
        <v>10.905420560747663</v>
      </c>
      <c r="I90" s="119"/>
      <c r="J90" s="119"/>
      <c r="K90" s="119"/>
      <c r="L90" s="127"/>
      <c r="M90" s="128"/>
      <c r="N90" s="122"/>
      <c r="O90" s="119">
        <v>7.386273896587325E-05</v>
      </c>
      <c r="P90" s="119">
        <v>0.0004991345190520565</v>
      </c>
      <c r="Q90" s="119">
        <v>0.00031104855735397614</v>
      </c>
      <c r="R90" s="127"/>
      <c r="S90" s="128"/>
      <c r="T90" s="122"/>
      <c r="U90" s="146">
        <v>2.83</v>
      </c>
      <c r="V90" s="153"/>
      <c r="W90" s="154"/>
      <c r="X90" s="160"/>
      <c r="Y90" s="153">
        <v>9.061684190366254E-05</v>
      </c>
      <c r="Z90" s="154">
        <v>0.0011187544339589844</v>
      </c>
      <c r="AA90" s="160">
        <v>0.0006787940944889047</v>
      </c>
      <c r="AB90" s="147"/>
      <c r="AC90" s="147"/>
      <c r="AD90" s="147"/>
      <c r="AE90" s="153"/>
      <c r="AF90" s="154"/>
      <c r="AG90" s="160"/>
    </row>
    <row r="91" spans="1:33" ht="12.75">
      <c r="A91" s="103">
        <v>3.8</v>
      </c>
      <c r="B91" s="114">
        <v>0.00011696689014362984</v>
      </c>
      <c r="C91" s="114">
        <v>0.0011774483779282017</v>
      </c>
      <c r="D91" s="114">
        <v>0.000684410839984216</v>
      </c>
      <c r="E91">
        <v>1.1</v>
      </c>
      <c r="H91" s="137">
        <v>12.935197568389059</v>
      </c>
      <c r="I91" s="120"/>
      <c r="J91" s="120"/>
      <c r="K91" s="120"/>
      <c r="L91" s="129"/>
      <c r="M91" s="130"/>
      <c r="N91" s="123"/>
      <c r="O91" s="120"/>
      <c r="P91" s="120"/>
      <c r="Q91" s="120"/>
      <c r="R91" s="129">
        <v>7.682255162920735E-05</v>
      </c>
      <c r="S91" s="130">
        <v>0.000628146267290872</v>
      </c>
      <c r="T91" s="123">
        <v>0.0003655328798185942</v>
      </c>
      <c r="U91" s="108">
        <v>2.9</v>
      </c>
      <c r="V91" s="151">
        <v>0.00016944969710895358</v>
      </c>
      <c r="W91" s="152">
        <v>0.0013128392779839261</v>
      </c>
      <c r="X91" s="159">
        <v>0.0005909024288678317</v>
      </c>
      <c r="Y91" s="151"/>
      <c r="Z91" s="152"/>
      <c r="AA91" s="159"/>
      <c r="AB91" s="145"/>
      <c r="AC91" s="145"/>
      <c r="AD91" s="145"/>
      <c r="AE91" s="151"/>
      <c r="AF91" s="152"/>
      <c r="AG91" s="159"/>
    </row>
    <row r="92" spans="1:33" ht="12.75">
      <c r="A92" s="103">
        <v>4.8</v>
      </c>
      <c r="B92" s="114">
        <v>8.090383340050268E-05</v>
      </c>
      <c r="C92" s="114">
        <v>0.001004109013773698</v>
      </c>
      <c r="D92" s="114">
        <v>0.0006898195578685896</v>
      </c>
      <c r="E92">
        <v>2.1</v>
      </c>
      <c r="H92" s="138">
        <v>14.436190476190477</v>
      </c>
      <c r="I92" s="118"/>
      <c r="J92" s="118"/>
      <c r="K92" s="118"/>
      <c r="L92" s="131">
        <v>0.0001231049132466718</v>
      </c>
      <c r="M92" s="132">
        <v>0.0014668274152191071</v>
      </c>
      <c r="N92" s="133">
        <v>0.000656015071091254</v>
      </c>
      <c r="O92" s="118"/>
      <c r="P92" s="118"/>
      <c r="Q92" s="118"/>
      <c r="R92" s="131"/>
      <c r="S92" s="132"/>
      <c r="T92" s="133"/>
      <c r="U92" s="148">
        <v>2.9</v>
      </c>
      <c r="V92" s="157"/>
      <c r="W92" s="158"/>
      <c r="X92" s="162"/>
      <c r="Y92" s="157"/>
      <c r="Z92" s="158"/>
      <c r="AA92" s="162"/>
      <c r="AB92" s="149"/>
      <c r="AC92" s="149"/>
      <c r="AD92" s="149"/>
      <c r="AE92" s="157">
        <v>6.182198421644E-05</v>
      </c>
      <c r="AF92" s="158">
        <v>0.0005456895721601512</v>
      </c>
      <c r="AG92" s="162">
        <v>0.00037793416217061517</v>
      </c>
    </row>
    <row r="93" spans="1:33" ht="12.75">
      <c r="A93" s="103">
        <v>1</v>
      </c>
      <c r="B93" s="114">
        <v>0.00015886888564246363</v>
      </c>
      <c r="C93" s="114">
        <v>0.0016020766206769298</v>
      </c>
      <c r="D93" s="114">
        <v>0.0004092423176167019</v>
      </c>
      <c r="E93">
        <v>2.1</v>
      </c>
      <c r="H93" s="135">
        <v>15.1</v>
      </c>
      <c r="I93" s="117">
        <v>0.00011696689014362984</v>
      </c>
      <c r="J93" s="117">
        <v>0.0011774483779282017</v>
      </c>
      <c r="K93" s="117">
        <v>0.000684410839984216</v>
      </c>
      <c r="L93" s="125"/>
      <c r="M93" s="126"/>
      <c r="N93" s="121"/>
      <c r="O93" s="117"/>
      <c r="P93" s="117"/>
      <c r="Q93" s="117"/>
      <c r="R93" s="125"/>
      <c r="S93" s="126"/>
      <c r="T93" s="121"/>
      <c r="U93" s="8">
        <v>3</v>
      </c>
      <c r="V93" s="155"/>
      <c r="W93" s="156"/>
      <c r="X93" s="161"/>
      <c r="Y93" s="155"/>
      <c r="Z93" s="156"/>
      <c r="AA93" s="161"/>
      <c r="AB93" s="52">
        <v>7.386273896587325E-05</v>
      </c>
      <c r="AC93" s="52">
        <v>0.0004991345190520565</v>
      </c>
      <c r="AD93" s="52">
        <v>0.00031104855735397614</v>
      </c>
      <c r="AE93" s="155"/>
      <c r="AF93" s="156"/>
      <c r="AG93" s="161"/>
    </row>
    <row r="94" spans="1:33" ht="12.75">
      <c r="A94" s="103">
        <v>2.1</v>
      </c>
      <c r="B94" s="114">
        <v>0.0001231049132466718</v>
      </c>
      <c r="C94" s="114">
        <v>0.0014668274152191071</v>
      </c>
      <c r="D94" s="114">
        <v>0.000656015071091254</v>
      </c>
      <c r="E94">
        <v>2.1</v>
      </c>
      <c r="H94" s="136">
        <v>16</v>
      </c>
      <c r="I94" s="119"/>
      <c r="J94" s="119"/>
      <c r="K94" s="119"/>
      <c r="L94" s="127"/>
      <c r="M94" s="128"/>
      <c r="N94" s="122"/>
      <c r="O94" s="119">
        <v>4.789860560742547E-05</v>
      </c>
      <c r="P94" s="119">
        <v>0.0003719608669178669</v>
      </c>
      <c r="Q94" s="119">
        <v>0.0002960043787629992</v>
      </c>
      <c r="R94" s="127"/>
      <c r="S94" s="128"/>
      <c r="T94" s="122"/>
      <c r="U94" s="108">
        <v>3.8</v>
      </c>
      <c r="V94" s="151">
        <v>0.00011696689014362984</v>
      </c>
      <c r="W94" s="152">
        <v>0.0011774483779282017</v>
      </c>
      <c r="X94" s="159">
        <v>0.000684410839984216</v>
      </c>
      <c r="Y94" s="151"/>
      <c r="Z94" s="152"/>
      <c r="AA94" s="159"/>
      <c r="AB94" s="145"/>
      <c r="AC94" s="145"/>
      <c r="AD94" s="145"/>
      <c r="AE94" s="151"/>
      <c r="AF94" s="152"/>
      <c r="AG94" s="159"/>
    </row>
    <row r="95" spans="1:33" ht="12.75">
      <c r="A95" s="103">
        <v>2.83</v>
      </c>
      <c r="B95" s="114">
        <v>9.061684190366254E-05</v>
      </c>
      <c r="C95" s="114">
        <v>0.0011187544339589844</v>
      </c>
      <c r="D95" s="114">
        <v>0.0006787940944889047</v>
      </c>
      <c r="E95">
        <v>2.2</v>
      </c>
      <c r="H95" s="137">
        <v>16.61914040114613</v>
      </c>
      <c r="I95" s="120"/>
      <c r="J95" s="120"/>
      <c r="K95" s="120"/>
      <c r="L95" s="129"/>
      <c r="M95" s="130"/>
      <c r="N95" s="123"/>
      <c r="O95" s="120"/>
      <c r="P95" s="120"/>
      <c r="Q95" s="120"/>
      <c r="R95" s="129">
        <v>6.182198421644E-05</v>
      </c>
      <c r="S95" s="130">
        <v>0.0005456895721601512</v>
      </c>
      <c r="T95" s="123">
        <v>0.00037793416217061517</v>
      </c>
      <c r="U95" s="146">
        <v>3.9</v>
      </c>
      <c r="V95" s="153"/>
      <c r="W95" s="154"/>
      <c r="X95" s="160"/>
      <c r="Y95" s="153">
        <v>8.097387000768976E-05</v>
      </c>
      <c r="Z95" s="154">
        <v>0.00119756640592303</v>
      </c>
      <c r="AA95" s="160">
        <v>0.0008750161385056561</v>
      </c>
      <c r="AB95" s="147"/>
      <c r="AC95" s="147"/>
      <c r="AD95" s="147"/>
      <c r="AE95" s="153"/>
      <c r="AF95" s="154"/>
      <c r="AG95" s="160"/>
    </row>
    <row r="96" spans="1:33" ht="12.75">
      <c r="A96" s="103">
        <v>3.8</v>
      </c>
      <c r="B96" s="114">
        <v>8.097387000768976E-05</v>
      </c>
      <c r="C96" s="114">
        <v>0.00119756640592303</v>
      </c>
      <c r="E96">
        <v>2.2</v>
      </c>
      <c r="H96" s="137">
        <v>20.219534883720932</v>
      </c>
      <c r="I96" s="120"/>
      <c r="J96" s="120"/>
      <c r="K96" s="120"/>
      <c r="L96" s="129"/>
      <c r="M96" s="130"/>
      <c r="N96" s="123"/>
      <c r="O96" s="120"/>
      <c r="P96" s="120"/>
      <c r="Q96" s="120"/>
      <c r="R96" s="129">
        <v>5.9205138049424776E-05</v>
      </c>
      <c r="S96" s="130">
        <v>0.0005195753964487835</v>
      </c>
      <c r="T96" s="123">
        <v>0.00044034717335209955</v>
      </c>
      <c r="U96" s="8">
        <v>3.9</v>
      </c>
      <c r="V96" s="155"/>
      <c r="W96" s="156"/>
      <c r="X96" s="161"/>
      <c r="Y96" s="155"/>
      <c r="Z96" s="156"/>
      <c r="AA96" s="161"/>
      <c r="AB96" s="52">
        <v>4.789860560742547E-05</v>
      </c>
      <c r="AC96" s="52">
        <v>0.0003719608669178669</v>
      </c>
      <c r="AD96" s="52">
        <v>0.0002960043787629992</v>
      </c>
      <c r="AE96" s="155"/>
      <c r="AF96" s="156"/>
      <c r="AG96" s="161"/>
    </row>
    <row r="97" spans="1:33" ht="12.75">
      <c r="A97" s="103">
        <v>4.8</v>
      </c>
      <c r="B97" s="114">
        <v>6.364607759691878E-05</v>
      </c>
      <c r="C97" s="114">
        <v>0.0009155099547783715</v>
      </c>
      <c r="E97">
        <v>2.83</v>
      </c>
      <c r="H97" s="138">
        <v>20.29286219081272</v>
      </c>
      <c r="I97" s="118"/>
      <c r="J97" s="118"/>
      <c r="K97" s="118"/>
      <c r="L97" s="131">
        <v>9.061684190366254E-05</v>
      </c>
      <c r="M97" s="132">
        <v>0.0011187544339589844</v>
      </c>
      <c r="N97" s="133">
        <v>0.0006787940944889047</v>
      </c>
      <c r="O97" s="118"/>
      <c r="P97" s="118"/>
      <c r="Q97" s="118"/>
      <c r="R97" s="131"/>
      <c r="S97" s="132"/>
      <c r="T97" s="133"/>
      <c r="U97" s="148">
        <v>4</v>
      </c>
      <c r="V97" s="157"/>
      <c r="W97" s="158"/>
      <c r="X97" s="162"/>
      <c r="Y97" s="157"/>
      <c r="Z97" s="158"/>
      <c r="AA97" s="162"/>
      <c r="AB97" s="149"/>
      <c r="AC97" s="149"/>
      <c r="AD97" s="149"/>
      <c r="AE97" s="157">
        <v>5.9205138049424776E-05</v>
      </c>
      <c r="AF97" s="158">
        <v>0.0005195753964487835</v>
      </c>
      <c r="AG97" s="162">
        <v>0.00044034717335209955</v>
      </c>
    </row>
    <row r="98" spans="1:33" ht="12.75">
      <c r="A98" s="103">
        <v>1</v>
      </c>
      <c r="B98" s="114">
        <v>0.00017975567501601295</v>
      </c>
      <c r="C98" s="114">
        <v>0.0005852992650770589</v>
      </c>
      <c r="E98">
        <v>2.9</v>
      </c>
      <c r="H98" s="135">
        <v>22</v>
      </c>
      <c r="I98" s="117">
        <v>8.090383340050268E-05</v>
      </c>
      <c r="J98" s="117">
        <v>0.001004109013773698</v>
      </c>
      <c r="K98" s="117">
        <v>0.0006898195578685896</v>
      </c>
      <c r="L98" s="125"/>
      <c r="M98" s="126"/>
      <c r="N98" s="121"/>
      <c r="O98" s="117"/>
      <c r="P98" s="117"/>
      <c r="Q98" s="117"/>
      <c r="R98" s="125"/>
      <c r="S98" s="126"/>
      <c r="T98" s="121"/>
      <c r="U98" s="108">
        <v>4.8</v>
      </c>
      <c r="V98" s="151">
        <v>8.090383340050268E-05</v>
      </c>
      <c r="W98" s="152">
        <v>0.001004109013773698</v>
      </c>
      <c r="X98" s="159">
        <v>0.0006898195578685896</v>
      </c>
      <c r="Y98" s="151"/>
      <c r="Z98" s="152"/>
      <c r="AA98" s="159"/>
      <c r="AB98" s="145"/>
      <c r="AC98" s="145"/>
      <c r="AD98" s="145"/>
      <c r="AE98" s="151"/>
      <c r="AF98" s="152"/>
      <c r="AG98" s="159"/>
    </row>
    <row r="99" spans="1:33" ht="12.75">
      <c r="A99" s="103">
        <v>2.1</v>
      </c>
      <c r="B99" s="114">
        <v>0.00012034334105654737</v>
      </c>
      <c r="C99" s="114">
        <v>0.0007723417012072783</v>
      </c>
      <c r="D99" s="114">
        <v>0.00037813746188130427</v>
      </c>
      <c r="E99">
        <v>2.9</v>
      </c>
      <c r="H99" s="136">
        <v>23.977777777777774</v>
      </c>
      <c r="I99" s="119"/>
      <c r="J99" s="119"/>
      <c r="K99" s="119"/>
      <c r="L99" s="127"/>
      <c r="M99" s="128"/>
      <c r="N99" s="122"/>
      <c r="O99" s="119">
        <v>4.2522847853250393E-05</v>
      </c>
      <c r="P99" s="119">
        <v>0.0004362638301369086</v>
      </c>
      <c r="Q99" s="119">
        <v>0.0003937237730341179</v>
      </c>
      <c r="R99" s="127"/>
      <c r="S99" s="128"/>
      <c r="T99" s="122"/>
      <c r="U99" s="146">
        <v>4.8</v>
      </c>
      <c r="V99" s="153"/>
      <c r="W99" s="154"/>
      <c r="X99" s="160"/>
      <c r="Y99" s="153">
        <v>6.364607759691878E-05</v>
      </c>
      <c r="Z99" s="154">
        <v>0.0009155099547783715</v>
      </c>
      <c r="AA99" s="160">
        <v>0.0008132319380572332</v>
      </c>
      <c r="AB99" s="147"/>
      <c r="AC99" s="147"/>
      <c r="AD99" s="147"/>
      <c r="AE99" s="153"/>
      <c r="AF99" s="154"/>
      <c r="AG99" s="160"/>
    </row>
    <row r="100" spans="1:33" ht="12.75">
      <c r="A100" s="103">
        <v>2.83</v>
      </c>
      <c r="B100" s="114">
        <v>7.386273896587325E-05</v>
      </c>
      <c r="C100" s="114">
        <v>0.0004991345190520565</v>
      </c>
      <c r="D100" s="114">
        <v>0.00031104855735397614</v>
      </c>
      <c r="E100">
        <v>3</v>
      </c>
      <c r="H100" s="137">
        <v>27.235</v>
      </c>
      <c r="I100" s="120"/>
      <c r="J100" s="120"/>
      <c r="K100" s="120"/>
      <c r="L100" s="129"/>
      <c r="M100" s="130"/>
      <c r="N100" s="123"/>
      <c r="O100" s="120"/>
      <c r="P100" s="120"/>
      <c r="Q100" s="120"/>
      <c r="R100" s="129">
        <v>5.951915958946655E-05</v>
      </c>
      <c r="S100" s="130">
        <v>0.0006916786028858598</v>
      </c>
      <c r="T100" s="123">
        <v>0.000596278051450465</v>
      </c>
      <c r="U100" s="8">
        <v>4.8</v>
      </c>
      <c r="V100" s="155"/>
      <c r="W100" s="156"/>
      <c r="X100" s="161"/>
      <c r="Y100" s="155"/>
      <c r="Z100" s="156"/>
      <c r="AA100" s="161"/>
      <c r="AB100" s="52">
        <v>4.2522847853250393E-05</v>
      </c>
      <c r="AC100" s="52">
        <v>0.0004362638301369086</v>
      </c>
      <c r="AD100" s="52">
        <v>0.0003937237730341179</v>
      </c>
      <c r="AE100" s="155"/>
      <c r="AF100" s="156"/>
      <c r="AG100" s="161"/>
    </row>
    <row r="101" spans="1:33" ht="12.75">
      <c r="A101" s="103">
        <v>3.8</v>
      </c>
      <c r="B101" s="114">
        <v>4.789860560742547E-05</v>
      </c>
      <c r="C101" s="114">
        <v>0.0003719608669178669</v>
      </c>
      <c r="D101" s="114">
        <v>0.0002960043787629992</v>
      </c>
      <c r="E101">
        <v>3.8</v>
      </c>
      <c r="H101" s="138">
        <v>29.27422053231939</v>
      </c>
      <c r="I101" s="118"/>
      <c r="J101" s="118"/>
      <c r="K101" s="118"/>
      <c r="L101" s="131">
        <v>8.097387000768976E-05</v>
      </c>
      <c r="M101" s="132">
        <v>0.00119756640592303</v>
      </c>
      <c r="N101" s="133">
        <v>0.0008750161385056561</v>
      </c>
      <c r="O101" s="118"/>
      <c r="P101" s="118"/>
      <c r="Q101" s="118"/>
      <c r="R101" s="131"/>
      <c r="S101" s="132"/>
      <c r="T101" s="133"/>
      <c r="U101" s="148">
        <v>4.9</v>
      </c>
      <c r="V101" s="157"/>
      <c r="W101" s="158"/>
      <c r="X101" s="162"/>
      <c r="Y101" s="157"/>
      <c r="Z101" s="158"/>
      <c r="AA101" s="162"/>
      <c r="AB101" s="149"/>
      <c r="AC101" s="149"/>
      <c r="AD101" s="149"/>
      <c r="AE101" s="157">
        <v>5.951915958946655E-05</v>
      </c>
      <c r="AF101" s="158">
        <v>0.0006916786028858598</v>
      </c>
      <c r="AG101" s="162">
        <v>0.000596278051450465</v>
      </c>
    </row>
    <row r="102" spans="1:26" ht="12.75">
      <c r="A102" s="103">
        <v>4.8</v>
      </c>
      <c r="B102" s="114">
        <v>4.2522847853250393E-05</v>
      </c>
      <c r="C102" s="114">
        <v>0.0004362638301369086</v>
      </c>
      <c r="D102" s="114">
        <v>0.0003937237730341179</v>
      </c>
      <c r="E102">
        <v>3.9</v>
      </c>
      <c r="H102" s="138">
        <v>34.61441176470588</v>
      </c>
      <c r="I102" s="118"/>
      <c r="J102" s="118"/>
      <c r="K102" s="118"/>
      <c r="L102" s="131"/>
      <c r="M102" s="132">
        <v>0.0009155099547783715</v>
      </c>
      <c r="N102" s="133">
        <v>0.0008132319380572332</v>
      </c>
      <c r="O102" s="118"/>
      <c r="P102" s="118"/>
      <c r="Q102" s="118"/>
      <c r="R102" s="131"/>
      <c r="S102" s="132"/>
      <c r="T102" s="133"/>
      <c r="U102" s="1"/>
      <c r="V102" s="111"/>
      <c r="W102" s="112"/>
      <c r="X102" s="5"/>
      <c r="Y102" s="5"/>
      <c r="Z102" s="150"/>
    </row>
    <row r="103" spans="1:26" ht="12.75">
      <c r="A103" s="103">
        <v>1</v>
      </c>
      <c r="B103" s="114">
        <v>0.00011555992673539296</v>
      </c>
      <c r="C103" s="114">
        <v>0.0005666520715615126</v>
      </c>
      <c r="E103">
        <v>3.9</v>
      </c>
      <c r="H103" s="103"/>
      <c r="I103" s="116"/>
      <c r="J103" s="116"/>
      <c r="K103" s="116"/>
      <c r="U103" s="1"/>
      <c r="V103" s="111"/>
      <c r="W103" s="112"/>
      <c r="X103" s="5"/>
      <c r="Y103" s="5"/>
      <c r="Z103" s="150"/>
    </row>
    <row r="104" spans="1:26" ht="12.75">
      <c r="A104" s="103">
        <v>2.1</v>
      </c>
      <c r="B104" s="114">
        <v>0.00012024609433294021</v>
      </c>
      <c r="C104" s="114">
        <v>0.0010357728958600963</v>
      </c>
      <c r="D104" s="114">
        <v>0.0004583730810331794</v>
      </c>
      <c r="E104">
        <v>4</v>
      </c>
      <c r="H104" s="103"/>
      <c r="I104" s="116"/>
      <c r="J104" s="116"/>
      <c r="K104" s="116"/>
      <c r="U104" s="1"/>
      <c r="V104" s="111"/>
      <c r="W104" s="112"/>
      <c r="X104" s="5"/>
      <c r="Y104" s="5"/>
      <c r="Z104" s="150"/>
    </row>
    <row r="105" spans="1:11" ht="12.75">
      <c r="A105" s="103">
        <v>2.83</v>
      </c>
      <c r="B105" s="114">
        <v>7.682255162920735E-05</v>
      </c>
      <c r="C105" s="114">
        <v>0.000628146267290872</v>
      </c>
      <c r="D105" s="114">
        <v>0.0003655328798185942</v>
      </c>
      <c r="E105">
        <v>4.8</v>
      </c>
      <c r="H105" s="103"/>
      <c r="I105" s="116"/>
      <c r="J105" s="116"/>
      <c r="K105" s="116"/>
    </row>
    <row r="106" spans="1:5" ht="12.75">
      <c r="A106" s="103">
        <v>3.8</v>
      </c>
      <c r="B106" s="114">
        <v>6.182198421644E-05</v>
      </c>
      <c r="C106" s="114">
        <v>0.0005456895721601512</v>
      </c>
      <c r="D106" s="114">
        <v>0.00037793416217061517</v>
      </c>
      <c r="E106">
        <v>4.8</v>
      </c>
    </row>
    <row r="107" spans="1:5" ht="12.75">
      <c r="A107" s="103">
        <v>4.8</v>
      </c>
      <c r="B107" s="114">
        <v>5.9205138049424776E-05</v>
      </c>
      <c r="C107" s="114">
        <v>0.0005195753964487835</v>
      </c>
      <c r="D107" s="114">
        <v>0.00044034717335209955</v>
      </c>
      <c r="E107">
        <v>4.8</v>
      </c>
    </row>
    <row r="108" spans="1:5" ht="12.75">
      <c r="A108" s="103"/>
      <c r="B108" s="114"/>
      <c r="C108" s="114"/>
      <c r="D108" s="114"/>
      <c r="E108">
        <v>4.9</v>
      </c>
    </row>
    <row r="110" spans="1:10" ht="15.75">
      <c r="A110" s="171" t="s">
        <v>84</v>
      </c>
      <c r="B110" s="18" t="s">
        <v>133</v>
      </c>
      <c r="C110" s="172" t="s">
        <v>134</v>
      </c>
      <c r="D110" s="176" t="s">
        <v>56</v>
      </c>
      <c r="E110" s="171" t="s">
        <v>134</v>
      </c>
      <c r="F110" s="171" t="s">
        <v>56</v>
      </c>
      <c r="G110" s="172" t="s">
        <v>134</v>
      </c>
      <c r="H110" s="176" t="s">
        <v>56</v>
      </c>
      <c r="I110" s="171" t="s">
        <v>134</v>
      </c>
      <c r="J110" s="171" t="s">
        <v>56</v>
      </c>
    </row>
    <row r="111" spans="1:10" ht="12.75">
      <c r="A111" s="18" t="s">
        <v>90</v>
      </c>
      <c r="B111" s="18" t="s">
        <v>83</v>
      </c>
      <c r="C111" s="173" t="s">
        <v>74</v>
      </c>
      <c r="D111" s="177" t="s">
        <v>74</v>
      </c>
      <c r="E111" s="18" t="s">
        <v>74</v>
      </c>
      <c r="F111" s="18" t="s">
        <v>74</v>
      </c>
      <c r="G111" s="173" t="s">
        <v>74</v>
      </c>
      <c r="H111" s="177" t="s">
        <v>74</v>
      </c>
      <c r="I111" s="18" t="s">
        <v>74</v>
      </c>
      <c r="J111" s="18" t="s">
        <v>74</v>
      </c>
    </row>
    <row r="112" spans="1:14" ht="12.75">
      <c r="A112" s="21"/>
      <c r="B112" s="21"/>
      <c r="C112" s="174" t="s">
        <v>86</v>
      </c>
      <c r="D112" s="178" t="s">
        <v>86</v>
      </c>
      <c r="E112" s="166" t="s">
        <v>128</v>
      </c>
      <c r="F112" s="166" t="s">
        <v>128</v>
      </c>
      <c r="G112" s="184" t="s">
        <v>129</v>
      </c>
      <c r="H112" s="183" t="s">
        <v>129</v>
      </c>
      <c r="I112" s="165" t="s">
        <v>130</v>
      </c>
      <c r="J112" s="165" t="s">
        <v>130</v>
      </c>
      <c r="K112" s="106"/>
      <c r="N112" s="165"/>
    </row>
    <row r="113" spans="1:10" ht="12.75">
      <c r="A113" s="167">
        <v>2.096525423728814</v>
      </c>
      <c r="B113" s="167">
        <v>1</v>
      </c>
      <c r="C113" s="44">
        <v>94.84167898648364</v>
      </c>
      <c r="D113" s="179">
        <v>408.0675178248886</v>
      </c>
      <c r="E113" s="167"/>
      <c r="F113" s="167"/>
      <c r="G113" s="44"/>
      <c r="H113" s="179"/>
      <c r="I113" s="167"/>
      <c r="J113" s="167"/>
    </row>
    <row r="114" spans="1:10" ht="12.75">
      <c r="A114" s="169">
        <v>2.7994708994708994</v>
      </c>
      <c r="B114" s="169">
        <v>1</v>
      </c>
      <c r="C114" s="43"/>
      <c r="D114" s="180"/>
      <c r="E114" s="169"/>
      <c r="F114" s="169"/>
      <c r="G114" s="43">
        <v>49.48499776085983</v>
      </c>
      <c r="H114" s="180">
        <v>403.18535410215816</v>
      </c>
      <c r="I114" s="169"/>
      <c r="J114" s="169"/>
    </row>
    <row r="115" spans="1:10" ht="12.75">
      <c r="A115" s="167">
        <v>4.4</v>
      </c>
      <c r="B115" s="167">
        <v>2.1</v>
      </c>
      <c r="C115" s="44">
        <v>92.72248989411321</v>
      </c>
      <c r="D115" s="179">
        <v>411.72914061693643</v>
      </c>
      <c r="E115" s="167"/>
      <c r="F115" s="167"/>
      <c r="G115" s="44"/>
      <c r="H115" s="179"/>
      <c r="I115" s="167"/>
      <c r="J115" s="167"/>
    </row>
    <row r="116" spans="1:10" ht="12.75">
      <c r="A116" s="170">
        <v>5.6889130434782595</v>
      </c>
      <c r="B116" s="170">
        <v>1</v>
      </c>
      <c r="C116" s="41"/>
      <c r="D116" s="181"/>
      <c r="E116" s="170"/>
      <c r="F116" s="170"/>
      <c r="G116" s="41"/>
      <c r="H116" s="181"/>
      <c r="I116" s="170">
        <v>25.28688242973957</v>
      </c>
      <c r="J116" s="170">
        <v>411.72914061693643</v>
      </c>
    </row>
    <row r="117" spans="1:10" ht="12.75">
      <c r="A117" s="168">
        <v>6.978399999999999</v>
      </c>
      <c r="B117" s="168">
        <v>1</v>
      </c>
      <c r="C117" s="175"/>
      <c r="D117" s="182"/>
      <c r="E117" s="168">
        <v>31.640563202024996</v>
      </c>
      <c r="F117" s="168">
        <v>413.35652852451324</v>
      </c>
      <c r="G117" s="175"/>
      <c r="H117" s="182"/>
      <c r="I117" s="168"/>
      <c r="J117" s="168"/>
    </row>
    <row r="118" spans="1:10" ht="12.75">
      <c r="A118" s="169">
        <v>8.137055449330784</v>
      </c>
      <c r="B118" s="169">
        <v>2.1</v>
      </c>
      <c r="C118" s="43"/>
      <c r="D118" s="180"/>
      <c r="E118" s="169"/>
      <c r="F118" s="169"/>
      <c r="G118" s="43">
        <v>34.233669085885836</v>
      </c>
      <c r="H118" s="180">
        <v>398.7100373563219</v>
      </c>
      <c r="I118" s="169"/>
      <c r="J118" s="169"/>
    </row>
    <row r="119" spans="1:10" ht="12.75">
      <c r="A119" s="167">
        <v>9</v>
      </c>
      <c r="B119" s="167">
        <v>2.83</v>
      </c>
      <c r="C119" s="44">
        <v>63.093812742418535</v>
      </c>
      <c r="D119" s="179">
        <v>412.5428345707249</v>
      </c>
      <c r="E119" s="167"/>
      <c r="F119" s="167"/>
      <c r="G119" s="44"/>
      <c r="H119" s="179"/>
      <c r="I119" s="167"/>
      <c r="J119" s="167"/>
    </row>
    <row r="120" spans="1:10" ht="12.75">
      <c r="A120" s="170">
        <v>10.362951653944018</v>
      </c>
      <c r="B120" s="170">
        <v>2.1</v>
      </c>
      <c r="C120" s="41"/>
      <c r="D120" s="181"/>
      <c r="E120" s="170"/>
      <c r="F120" s="170"/>
      <c r="G120" s="41"/>
      <c r="H120" s="181"/>
      <c r="I120" s="170">
        <v>27.004741290455573</v>
      </c>
      <c r="J120" s="170">
        <v>397.8963434025335</v>
      </c>
    </row>
    <row r="121" spans="1:10" ht="12.75">
      <c r="A121" s="169">
        <v>10.905420560747663</v>
      </c>
      <c r="B121" s="169">
        <v>2.83</v>
      </c>
      <c r="C121" s="43"/>
      <c r="D121" s="180"/>
      <c r="E121" s="169"/>
      <c r="F121" s="169"/>
      <c r="G121" s="43">
        <v>35.01914524082011</v>
      </c>
      <c r="H121" s="180">
        <v>403.18535410215816</v>
      </c>
      <c r="I121" s="169"/>
      <c r="J121" s="169"/>
    </row>
    <row r="122" spans="1:10" ht="12.75">
      <c r="A122" s="170">
        <v>12.935197568389059</v>
      </c>
      <c r="B122" s="170">
        <v>2.83</v>
      </c>
      <c r="C122" s="41"/>
      <c r="D122" s="181"/>
      <c r="E122" s="170"/>
      <c r="F122" s="170"/>
      <c r="G122" s="41"/>
      <c r="H122" s="181"/>
      <c r="I122" s="170">
        <v>22.607022607022603</v>
      </c>
      <c r="J122" s="170">
        <v>377.147147580929</v>
      </c>
    </row>
    <row r="123" spans="1:10" ht="12.75">
      <c r="A123" s="168">
        <v>14.436190476190477</v>
      </c>
      <c r="B123" s="168">
        <v>2.1</v>
      </c>
      <c r="C123" s="175"/>
      <c r="D123" s="182"/>
      <c r="E123" s="168">
        <v>31.007751937984494</v>
      </c>
      <c r="F123" s="168">
        <v>421.49346806239737</v>
      </c>
      <c r="G123" s="175"/>
      <c r="H123" s="182"/>
      <c r="I123" s="168"/>
      <c r="J123" s="168"/>
    </row>
    <row r="124" spans="1:10" ht="12.75">
      <c r="A124" s="167">
        <v>15.1</v>
      </c>
      <c r="B124" s="167">
        <v>3.8</v>
      </c>
      <c r="C124" s="44">
        <v>50.08489403138962</v>
      </c>
      <c r="D124" s="179">
        <v>420.679774108609</v>
      </c>
      <c r="E124" s="167"/>
      <c r="F124" s="167"/>
      <c r="G124" s="44"/>
      <c r="H124" s="179"/>
      <c r="I124" s="167"/>
      <c r="J124" s="167"/>
    </row>
    <row r="125" spans="1:10" ht="12.75">
      <c r="A125" s="169">
        <v>16</v>
      </c>
      <c r="B125" s="169">
        <v>3.8</v>
      </c>
      <c r="C125" s="43"/>
      <c r="D125" s="180"/>
      <c r="E125" s="169"/>
      <c r="F125" s="169"/>
      <c r="G125" s="43">
        <v>31.44359232721302</v>
      </c>
      <c r="H125" s="180">
        <v>405.21958898662916</v>
      </c>
      <c r="I125" s="169"/>
      <c r="J125" s="169"/>
    </row>
    <row r="126" spans="1:10" ht="12.75">
      <c r="A126" s="170">
        <v>16.61914040114613</v>
      </c>
      <c r="B126" s="170">
        <v>3.8</v>
      </c>
      <c r="C126" s="41"/>
      <c r="D126" s="181"/>
      <c r="E126" s="170"/>
      <c r="F126" s="170"/>
      <c r="G126" s="41"/>
      <c r="H126" s="181"/>
      <c r="I126" s="170">
        <v>23.981309695595414</v>
      </c>
      <c r="J126" s="170">
        <v>374.7060657195637</v>
      </c>
    </row>
    <row r="127" spans="1:10" ht="12.75">
      <c r="A127" s="170">
        <v>20.219534883720932</v>
      </c>
      <c r="B127" s="170">
        <v>4.8</v>
      </c>
      <c r="C127" s="41"/>
      <c r="D127" s="181"/>
      <c r="E127" s="170"/>
      <c r="F127" s="170"/>
      <c r="G127" s="41"/>
      <c r="H127" s="181"/>
      <c r="I127" s="170">
        <v>26.59245516388373</v>
      </c>
      <c r="J127" s="170">
        <v>378.36768851161156</v>
      </c>
    </row>
    <row r="128" spans="1:10" ht="12.75">
      <c r="A128" s="168">
        <v>20.29286219081272</v>
      </c>
      <c r="B128" s="168">
        <v>2.83</v>
      </c>
      <c r="C128" s="175"/>
      <c r="D128" s="182"/>
      <c r="E128" s="168">
        <v>29.847597953910242</v>
      </c>
      <c r="F128" s="168">
        <v>422.7140089930801</v>
      </c>
      <c r="G128" s="175"/>
      <c r="H128" s="182"/>
      <c r="I128" s="168"/>
      <c r="J128" s="168"/>
    </row>
    <row r="129" spans="1:10" ht="12.75">
      <c r="A129" s="167">
        <v>22</v>
      </c>
      <c r="B129" s="167">
        <v>4.8</v>
      </c>
      <c r="C129" s="44">
        <v>43.30349295451942</v>
      </c>
      <c r="D129" s="179">
        <v>420.6797741086091</v>
      </c>
      <c r="E129" s="167">
        <v>43.30349295451942</v>
      </c>
      <c r="F129" s="167">
        <v>420.6797741086091</v>
      </c>
      <c r="G129" s="44"/>
      <c r="H129" s="179"/>
      <c r="I129" s="167"/>
      <c r="J129" s="167"/>
    </row>
    <row r="130" spans="1:10" ht="12.75">
      <c r="A130" s="169">
        <v>23.977777777777774</v>
      </c>
      <c r="B130" s="169">
        <v>4.8</v>
      </c>
      <c r="C130" s="43"/>
      <c r="D130" s="180"/>
      <c r="E130" s="169"/>
      <c r="F130" s="169"/>
      <c r="G130" s="43">
        <v>25.920713112831336</v>
      </c>
      <c r="H130" s="180">
        <v>337.68299082219096</v>
      </c>
      <c r="I130" s="169"/>
      <c r="J130" s="169"/>
    </row>
    <row r="131" spans="1:10" ht="12.75">
      <c r="A131" s="168">
        <v>29.27422053231939</v>
      </c>
      <c r="B131" s="168">
        <v>3.8</v>
      </c>
      <c r="C131" s="175"/>
      <c r="D131" s="182"/>
      <c r="E131" s="168">
        <v>27.738227073775242</v>
      </c>
      <c r="F131" s="168">
        <v>420.2729271317148</v>
      </c>
      <c r="G131" s="175"/>
      <c r="H131" s="182"/>
      <c r="I131" s="168"/>
      <c r="J131" s="168"/>
    </row>
    <row r="132" spans="1:10" ht="12.75">
      <c r="A132" s="168">
        <v>34.61441176470588</v>
      </c>
      <c r="B132" s="168">
        <v>4.8</v>
      </c>
      <c r="C132" s="175"/>
      <c r="D132" s="182"/>
      <c r="E132" s="168">
        <v>28.687443969836004</v>
      </c>
      <c r="F132" s="168">
        <v>420.27292713171477</v>
      </c>
      <c r="G132" s="175"/>
      <c r="H132" s="182"/>
      <c r="I132" s="168"/>
      <c r="J132" s="168"/>
    </row>
    <row r="133" ht="12.75">
      <c r="B133" s="167"/>
    </row>
    <row r="134" ht="12.75">
      <c r="B134" s="103"/>
    </row>
    <row r="135" ht="12.75">
      <c r="B135" s="103"/>
    </row>
  </sheetData>
  <mergeCells count="8">
    <mergeCell ref="A20:D20"/>
    <mergeCell ref="L27:O27"/>
    <mergeCell ref="G20:J20"/>
    <mergeCell ref="P3:S3"/>
    <mergeCell ref="R81:T81"/>
    <mergeCell ref="I81:K81"/>
    <mergeCell ref="L81:N81"/>
    <mergeCell ref="O81:Q8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Brendel Ingenieure NL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von Oelsen</dc:creator>
  <cp:keywords/>
  <dc:description/>
  <cp:lastModifiedBy>Thomas von Oelsen</cp:lastModifiedBy>
  <cp:lastPrinted>2000-11-07T20:39:07Z</cp:lastPrinted>
  <dcterms:created xsi:type="dcterms:W3CDTF">2000-02-26T18:00:17Z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